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390" yWindow="555" windowWidth="16935" windowHeight="5325"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30" i="33" s="1"/>
  <c r="J101" i="63"/>
  <c r="M101" s="1"/>
  <c r="I101"/>
  <c r="L101" s="1"/>
  <c r="E130" i="33" s="1"/>
  <c r="L100" i="63"/>
  <c r="K100"/>
  <c r="N100" s="1"/>
  <c r="J129" i="33" s="1"/>
  <c r="J100" i="63"/>
  <c r="M100" s="1"/>
  <c r="F129" i="33" s="1"/>
  <c r="I100" i="63"/>
  <c r="K99"/>
  <c r="N99" s="1"/>
  <c r="J128" i="33" s="1"/>
  <c r="J99" i="63"/>
  <c r="M99" s="1"/>
  <c r="F128" i="33" s="1"/>
  <c r="I99" i="63"/>
  <c r="L99" s="1"/>
  <c r="E128" i="33" s="1"/>
  <c r="L98" i="63"/>
  <c r="K98"/>
  <c r="N98" s="1"/>
  <c r="J127" i="33" s="1"/>
  <c r="J98" i="63"/>
  <c r="M98" s="1"/>
  <c r="F127" i="33" s="1"/>
  <c r="I98" i="63"/>
  <c r="K97"/>
  <c r="N97" s="1"/>
  <c r="J126" i="33" s="1"/>
  <c r="J97" i="63"/>
  <c r="M97" s="1"/>
  <c r="I97"/>
  <c r="L97" s="1"/>
  <c r="E126" i="33" s="1"/>
  <c r="L96" i="63"/>
  <c r="E123" i="33" s="1"/>
  <c r="E124" s="1"/>
  <c r="K96" i="63"/>
  <c r="N96" s="1"/>
  <c r="J123" i="33" s="1"/>
  <c r="J96" i="63"/>
  <c r="M96" s="1"/>
  <c r="I96"/>
  <c r="K95"/>
  <c r="N95" s="1"/>
  <c r="J120" i="33" s="1"/>
  <c r="J95" i="63"/>
  <c r="M95" s="1"/>
  <c r="I95"/>
  <c r="L95" s="1"/>
  <c r="E120" i="33" s="1"/>
  <c r="E121" s="1"/>
  <c r="L94" i="63"/>
  <c r="E117" i="33" s="1"/>
  <c r="E118" s="1"/>
  <c r="K94" i="63"/>
  <c r="N94" s="1"/>
  <c r="J117" i="33" s="1"/>
  <c r="J94" i="63"/>
  <c r="M94" s="1"/>
  <c r="I94"/>
  <c r="K93"/>
  <c r="N93" s="1"/>
  <c r="J116" i="33" s="1"/>
  <c r="J93" i="63"/>
  <c r="M93" s="1"/>
  <c r="F116" i="33" s="1"/>
  <c r="I93" i="63"/>
  <c r="L93" s="1"/>
  <c r="E116" i="33" s="1"/>
  <c r="L92" i="63"/>
  <c r="K92"/>
  <c r="N92" s="1"/>
  <c r="J115" i="33" s="1"/>
  <c r="J92" i="63"/>
  <c r="M92" s="1"/>
  <c r="F115" i="33" s="1"/>
  <c r="I92" i="63"/>
  <c r="K91"/>
  <c r="N91" s="1"/>
  <c r="J114" i="33" s="1"/>
  <c r="J91" i="63"/>
  <c r="M91" s="1"/>
  <c r="F114" i="33" s="1"/>
  <c r="I91" i="63"/>
  <c r="L91" s="1"/>
  <c r="E114" i="33" s="1"/>
  <c r="L90" i="63"/>
  <c r="E113" i="33" s="1"/>
  <c r="K90" i="63"/>
  <c r="N90" s="1"/>
  <c r="J113" i="33" s="1"/>
  <c r="J90" i="63"/>
  <c r="M90" s="1"/>
  <c r="I90"/>
  <c r="K89"/>
  <c r="N89" s="1"/>
  <c r="J112" i="33" s="1"/>
  <c r="J89" i="63"/>
  <c r="M89" s="1"/>
  <c r="F112" i="33" s="1"/>
  <c r="I89" i="63"/>
  <c r="L89" s="1"/>
  <c r="E112" i="33" s="1"/>
  <c r="L88" i="63"/>
  <c r="K88"/>
  <c r="N88" s="1"/>
  <c r="J111" i="33" s="1"/>
  <c r="J88" i="63"/>
  <c r="M88" s="1"/>
  <c r="F111" i="33" s="1"/>
  <c r="I88" i="63"/>
  <c r="K87"/>
  <c r="N87" s="1"/>
  <c r="J110" i="33" s="1"/>
  <c r="J87" i="63"/>
  <c r="M87" s="1"/>
  <c r="F110" i="33" s="1"/>
  <c r="I87" i="63"/>
  <c r="L87" s="1"/>
  <c r="E110" i="33" s="1"/>
  <c r="L86" i="63"/>
  <c r="E109" i="33" s="1"/>
  <c r="K86" i="63"/>
  <c r="N86" s="1"/>
  <c r="J109" i="33" s="1"/>
  <c r="J86" i="63"/>
  <c r="M86" s="1"/>
  <c r="I86"/>
  <c r="K85"/>
  <c r="N85" s="1"/>
  <c r="J108" i="33" s="1"/>
  <c r="J85" i="63"/>
  <c r="M85" s="1"/>
  <c r="F108" i="33" s="1"/>
  <c r="I85" i="63"/>
  <c r="L85" s="1"/>
  <c r="E108" i="33" s="1"/>
  <c r="L84" i="63"/>
  <c r="K84"/>
  <c r="N84" s="1"/>
  <c r="J107" i="33" s="1"/>
  <c r="J84" i="63"/>
  <c r="M84" s="1"/>
  <c r="F107" i="33" s="1"/>
  <c r="I84" i="63"/>
  <c r="K83"/>
  <c r="N83" s="1"/>
  <c r="J106" i="33" s="1"/>
  <c r="J83" i="63"/>
  <c r="M83" s="1"/>
  <c r="F106" i="33" s="1"/>
  <c r="I83" i="63"/>
  <c r="L83" s="1"/>
  <c r="E106" i="33" s="1"/>
  <c r="L82" i="63"/>
  <c r="E105" i="33" s="1"/>
  <c r="K82" i="63"/>
  <c r="N82" s="1"/>
  <c r="J105" i="33" s="1"/>
  <c r="J82" i="63"/>
  <c r="M82" s="1"/>
  <c r="I82"/>
  <c r="K81"/>
  <c r="N81" s="1"/>
  <c r="J104" i="33" s="1"/>
  <c r="J81" i="63"/>
  <c r="M81" s="1"/>
  <c r="F104" i="33" s="1"/>
  <c r="I81" i="63"/>
  <c r="L81" s="1"/>
  <c r="E104" i="33" s="1"/>
  <c r="L80" i="63"/>
  <c r="K80"/>
  <c r="N80" s="1"/>
  <c r="J103" i="33" s="1"/>
  <c r="J80" i="63"/>
  <c r="M80" s="1"/>
  <c r="F103" i="33" s="1"/>
  <c r="I80" i="63"/>
  <c r="K79"/>
  <c r="N79" s="1"/>
  <c r="J102" i="33" s="1"/>
  <c r="J79" i="63"/>
  <c r="M79" s="1"/>
  <c r="F102" i="33" s="1"/>
  <c r="I79" i="63"/>
  <c r="L79" s="1"/>
  <c r="E102" i="33" s="1"/>
  <c r="L78" i="63"/>
  <c r="K78"/>
  <c r="N78" s="1"/>
  <c r="J99" i="33" s="1"/>
  <c r="J78" i="63"/>
  <c r="M78" s="1"/>
  <c r="F99" i="33" s="1"/>
  <c r="I78" i="63"/>
  <c r="K77"/>
  <c r="N77" s="1"/>
  <c r="J98" i="33" s="1"/>
  <c r="J77" i="63"/>
  <c r="M77" s="1"/>
  <c r="I77"/>
  <c r="L77" s="1"/>
  <c r="E98" i="33" s="1"/>
  <c r="L76" i="63"/>
  <c r="K76"/>
  <c r="N76" s="1"/>
  <c r="J97" i="33" s="1"/>
  <c r="J76" i="63"/>
  <c r="M76" s="1"/>
  <c r="F97" i="33" s="1"/>
  <c r="I76" i="63"/>
  <c r="K75"/>
  <c r="N75" s="1"/>
  <c r="J96" i="33" s="1"/>
  <c r="J75" i="63"/>
  <c r="M75" s="1"/>
  <c r="F96" i="33" s="1"/>
  <c r="I75" i="63"/>
  <c r="L75" s="1"/>
  <c r="E96" i="33" s="1"/>
  <c r="L74" i="63"/>
  <c r="K74"/>
  <c r="N74" s="1"/>
  <c r="J95" i="33" s="1"/>
  <c r="J74" i="63"/>
  <c r="M74" s="1"/>
  <c r="F95" i="33" s="1"/>
  <c r="I74" i="63"/>
  <c r="K73"/>
  <c r="N73" s="1"/>
  <c r="J94" i="33" s="1"/>
  <c r="J73" i="63"/>
  <c r="M73" s="1"/>
  <c r="I73"/>
  <c r="L73" s="1"/>
  <c r="E94" i="33" s="1"/>
  <c r="L72" i="63"/>
  <c r="K72"/>
  <c r="N72" s="1"/>
  <c r="J93" i="33" s="1"/>
  <c r="J72" i="63"/>
  <c r="M72" s="1"/>
  <c r="F93" i="33" s="1"/>
  <c r="I72" i="63"/>
  <c r="K71"/>
  <c r="N71" s="1"/>
  <c r="J92" i="33" s="1"/>
  <c r="J71" i="63"/>
  <c r="M71" s="1"/>
  <c r="F92" i="33" s="1"/>
  <c r="I71" i="63"/>
  <c r="L71" s="1"/>
  <c r="E92" i="33" s="1"/>
  <c r="L70" i="63"/>
  <c r="K70"/>
  <c r="N70" s="1"/>
  <c r="J91" i="33" s="1"/>
  <c r="J70" i="63"/>
  <c r="M70" s="1"/>
  <c r="F91" i="33" s="1"/>
  <c r="I70" i="63"/>
  <c r="K69"/>
  <c r="N69" s="1"/>
  <c r="J90" i="33" s="1"/>
  <c r="J69" i="63"/>
  <c r="M69" s="1"/>
  <c r="I69"/>
  <c r="L69" s="1"/>
  <c r="E90" i="33" s="1"/>
  <c r="L68" i="63"/>
  <c r="K68"/>
  <c r="N68" s="1"/>
  <c r="J89" i="33" s="1"/>
  <c r="J68" i="63"/>
  <c r="M68" s="1"/>
  <c r="F89" i="33" s="1"/>
  <c r="I68" i="63"/>
  <c r="K67"/>
  <c r="N67" s="1"/>
  <c r="J88" i="33" s="1"/>
  <c r="J67" i="63"/>
  <c r="M67" s="1"/>
  <c r="F88" i="33" s="1"/>
  <c r="I67" i="63"/>
  <c r="L67" s="1"/>
  <c r="E88" i="33" s="1"/>
  <c r="L66" i="63"/>
  <c r="K66"/>
  <c r="N66" s="1"/>
  <c r="J87" i="33" s="1"/>
  <c r="J66" i="63"/>
  <c r="M66" s="1"/>
  <c r="F87" i="33" s="1"/>
  <c r="I66" i="63"/>
  <c r="K65"/>
  <c r="N65" s="1"/>
  <c r="J86" i="33" s="1"/>
  <c r="J65" i="63"/>
  <c r="M65" s="1"/>
  <c r="I65"/>
  <c r="L65" s="1"/>
  <c r="E86" i="33" s="1"/>
  <c r="L64" i="63"/>
  <c r="K64"/>
  <c r="N64" s="1"/>
  <c r="J85" i="33" s="1"/>
  <c r="J64" i="63"/>
  <c r="M64" s="1"/>
  <c r="F85" i="33" s="1"/>
  <c r="I64" i="63"/>
  <c r="K63"/>
  <c r="N63" s="1"/>
  <c r="J84" i="33" s="1"/>
  <c r="J63" i="63"/>
  <c r="M63" s="1"/>
  <c r="F84" i="33" s="1"/>
  <c r="I63" i="63"/>
  <c r="L63" s="1"/>
  <c r="E84" i="33" s="1"/>
  <c r="L62" i="63"/>
  <c r="K62"/>
  <c r="N62" s="1"/>
  <c r="J83" i="33" s="1"/>
  <c r="J62" i="63"/>
  <c r="M62" s="1"/>
  <c r="F83" i="33" s="1"/>
  <c r="I62" i="63"/>
  <c r="K61"/>
  <c r="N61" s="1"/>
  <c r="J82" i="33" s="1"/>
  <c r="J61" i="63"/>
  <c r="M61" s="1"/>
  <c r="I61"/>
  <c r="L61" s="1"/>
  <c r="E82" i="33" s="1"/>
  <c r="L60" i="63"/>
  <c r="K60"/>
  <c r="N60" s="1"/>
  <c r="J81" i="33" s="1"/>
  <c r="J60" i="63"/>
  <c r="M60" s="1"/>
  <c r="F81" i="33" s="1"/>
  <c r="I60" i="63"/>
  <c r="K59"/>
  <c r="N59" s="1"/>
  <c r="J80" i="33" s="1"/>
  <c r="J59" i="63"/>
  <c r="M59" s="1"/>
  <c r="F80" i="33" s="1"/>
  <c r="I59" i="63"/>
  <c r="L59" s="1"/>
  <c r="E80" i="33" s="1"/>
  <c r="T58" i="63"/>
  <c r="K58"/>
  <c r="N58" s="1"/>
  <c r="J58"/>
  <c r="M58" s="1"/>
  <c r="F79" i="33" s="1"/>
  <c r="I58" i="63"/>
  <c r="L58" s="1"/>
  <c r="T57"/>
  <c r="L57"/>
  <c r="K57"/>
  <c r="N57" s="1"/>
  <c r="J78" i="33" s="1"/>
  <c r="J57" i="63"/>
  <c r="M57" s="1"/>
  <c r="F78" i="33" s="1"/>
  <c r="I57" i="63"/>
  <c r="T56"/>
  <c r="K56"/>
  <c r="N56" s="1"/>
  <c r="J77" i="33" s="1"/>
  <c r="J56" i="63"/>
  <c r="M56" s="1"/>
  <c r="F77" i="33" s="1"/>
  <c r="I56" i="63"/>
  <c r="L56" s="1"/>
  <c r="T55"/>
  <c r="K55"/>
  <c r="N55" s="1"/>
  <c r="J76" i="33" s="1"/>
  <c r="J55" i="63"/>
  <c r="M55" s="1"/>
  <c r="I55"/>
  <c r="L55" s="1"/>
  <c r="E76" i="33" s="1"/>
  <c r="L54" i="63"/>
  <c r="K54"/>
  <c r="N54" s="1"/>
  <c r="J75" i="33" s="1"/>
  <c r="J54" i="63"/>
  <c r="M54" s="1"/>
  <c r="F75" i="33" s="1"/>
  <c r="I54" i="63"/>
  <c r="K53"/>
  <c r="N53" s="1"/>
  <c r="J74" i="33" s="1"/>
  <c r="J53" i="63"/>
  <c r="M53" s="1"/>
  <c r="F74" i="33" s="1"/>
  <c r="I53" i="63"/>
  <c r="L53" s="1"/>
  <c r="E74" i="33" s="1"/>
  <c r="L52" i="63"/>
  <c r="K52"/>
  <c r="N52" s="1"/>
  <c r="J73" i="33" s="1"/>
  <c r="J52" i="63"/>
  <c r="M52" s="1"/>
  <c r="F73" i="33" s="1"/>
  <c r="I52" i="63"/>
  <c r="K51"/>
  <c r="N51" s="1"/>
  <c r="J72" i="33" s="1"/>
  <c r="J51" i="63"/>
  <c r="M51" s="1"/>
  <c r="I51"/>
  <c r="L51" s="1"/>
  <c r="E72" i="33" s="1"/>
  <c r="L50" i="63"/>
  <c r="E69" i="33" s="1"/>
  <c r="K50" i="63"/>
  <c r="N50" s="1"/>
  <c r="J69" i="33" s="1"/>
  <c r="J50" i="63"/>
  <c r="M50" s="1"/>
  <c r="I50"/>
  <c r="K49"/>
  <c r="N49" s="1"/>
  <c r="J68" i="33" s="1"/>
  <c r="L68" s="1"/>
  <c r="J49" i="63"/>
  <c r="M49" s="1"/>
  <c r="F68" i="33" s="1"/>
  <c r="I49" i="63"/>
  <c r="L49" s="1"/>
  <c r="E68" i="33" s="1"/>
  <c r="K68" s="1"/>
  <c r="L48" i="63"/>
  <c r="E67" i="33" s="1"/>
  <c r="K67" s="1"/>
  <c r="K48" i="63"/>
  <c r="N48" s="1"/>
  <c r="J67" i="33" s="1"/>
  <c r="J48" i="63"/>
  <c r="M48" s="1"/>
  <c r="I48"/>
  <c r="K47"/>
  <c r="N47" s="1"/>
  <c r="J66" i="33" s="1"/>
  <c r="L66" s="1"/>
  <c r="J47" i="63"/>
  <c r="M47" s="1"/>
  <c r="F66" i="33" s="1"/>
  <c r="I47" i="63"/>
  <c r="L47" s="1"/>
  <c r="E66" i="33" s="1"/>
  <c r="K66" s="1"/>
  <c r="T46" i="63"/>
  <c r="K46"/>
  <c r="N46" s="1"/>
  <c r="J65" i="33" s="1"/>
  <c r="J46" i="63"/>
  <c r="M46" s="1"/>
  <c r="F65" i="33" s="1"/>
  <c r="I46" i="63"/>
  <c r="L46" s="1"/>
  <c r="E65" i="33" s="1"/>
  <c r="K45" i="63"/>
  <c r="N45" s="1"/>
  <c r="J64" i="33" s="1"/>
  <c r="J45" i="63"/>
  <c r="M45" s="1"/>
  <c r="F64" i="33" s="1"/>
  <c r="I45" i="63"/>
  <c r="L45" s="1"/>
  <c r="E64" i="33" s="1"/>
  <c r="K44" i="63"/>
  <c r="N44" s="1"/>
  <c r="J63" i="33" s="1"/>
  <c r="J44" i="63"/>
  <c r="M44" s="1"/>
  <c r="F63" i="33" s="1"/>
  <c r="I44" i="63"/>
  <c r="L44" s="1"/>
  <c r="E63" i="33" s="1"/>
  <c r="K43" i="63"/>
  <c r="N43" s="1"/>
  <c r="J62" i="33" s="1"/>
  <c r="J43" i="63"/>
  <c r="M43" s="1"/>
  <c r="F62" i="33" s="1"/>
  <c r="I43" i="63"/>
  <c r="L43" s="1"/>
  <c r="E62" i="33" s="1"/>
  <c r="K42" i="63"/>
  <c r="N42" s="1"/>
  <c r="J61" i="33" s="1"/>
  <c r="J42" i="63"/>
  <c r="M42" s="1"/>
  <c r="F61" i="33" s="1"/>
  <c r="I42" i="63"/>
  <c r="L42" s="1"/>
  <c r="E61" i="33" s="1"/>
  <c r="K41" i="63"/>
  <c r="N41" s="1"/>
  <c r="J60" i="33" s="1"/>
  <c r="J41" i="63"/>
  <c r="M41" s="1"/>
  <c r="I41"/>
  <c r="L41" s="1"/>
  <c r="E60" i="33" s="1"/>
  <c r="K40" i="63"/>
  <c r="N40" s="1"/>
  <c r="J59" i="33" s="1"/>
  <c r="J40" i="63"/>
  <c r="M40" s="1"/>
  <c r="I40"/>
  <c r="L40" s="1"/>
  <c r="E59" i="33" s="1"/>
  <c r="K39" i="63"/>
  <c r="N39" s="1"/>
  <c r="J58" i="33" s="1"/>
  <c r="J39" i="63"/>
  <c r="M39" s="1"/>
  <c r="I39"/>
  <c r="L39" s="1"/>
  <c r="E58" i="33" s="1"/>
  <c r="K38" i="63"/>
  <c r="N38" s="1"/>
  <c r="J57" i="33" s="1"/>
  <c r="J38" i="63"/>
  <c r="M38" s="1"/>
  <c r="I38"/>
  <c r="L38" s="1"/>
  <c r="E57" i="33" s="1"/>
  <c r="K37" i="63"/>
  <c r="N37" s="1"/>
  <c r="J56" i="33" s="1"/>
  <c r="J37" i="63"/>
  <c r="M37" s="1"/>
  <c r="I37"/>
  <c r="L37" s="1"/>
  <c r="E56" i="33" s="1"/>
  <c r="K36" i="63"/>
  <c r="N36" s="1"/>
  <c r="J55" i="33" s="1"/>
  <c r="J36" i="63"/>
  <c r="M36" s="1"/>
  <c r="I36"/>
  <c r="L36" s="1"/>
  <c r="E55" i="33" s="1"/>
  <c r="T35" i="63"/>
  <c r="L35"/>
  <c r="E54" i="33" s="1"/>
  <c r="K54" s="1"/>
  <c r="K35" i="63"/>
  <c r="N35" s="1"/>
  <c r="J54" i="33" s="1"/>
  <c r="J35" i="63"/>
  <c r="M35" s="1"/>
  <c r="I35"/>
  <c r="K34"/>
  <c r="N34" s="1"/>
  <c r="J34"/>
  <c r="M34" s="1"/>
  <c r="F53" i="33" s="1"/>
  <c r="I34" i="63"/>
  <c r="L34" s="1"/>
  <c r="E53" i="33" s="1"/>
  <c r="K53" s="1"/>
  <c r="T33" i="63"/>
  <c r="K33"/>
  <c r="N33" s="1"/>
  <c r="J52" i="33" s="1"/>
  <c r="J33" i="63"/>
  <c r="M33" s="1"/>
  <c r="I33"/>
  <c r="L33" s="1"/>
  <c r="E52" i="33" s="1"/>
  <c r="T32" i="63"/>
  <c r="L32"/>
  <c r="E51" i="33" s="1"/>
  <c r="K51" s="1"/>
  <c r="K32" i="63"/>
  <c r="N32" s="1"/>
  <c r="J51" i="33" s="1"/>
  <c r="J32" i="63"/>
  <c r="M32" s="1"/>
  <c r="I32"/>
  <c r="K31"/>
  <c r="N31" s="1"/>
  <c r="J31"/>
  <c r="M31" s="1"/>
  <c r="F50" i="33" s="1"/>
  <c r="I31" i="63"/>
  <c r="L31" s="1"/>
  <c r="E50" i="33" s="1"/>
  <c r="K50" s="1"/>
  <c r="L30" i="63"/>
  <c r="E49" i="33" s="1"/>
  <c r="K49" s="1"/>
  <c r="K30" i="63"/>
  <c r="N30" s="1"/>
  <c r="J49" i="33" s="1"/>
  <c r="J30" i="63"/>
  <c r="M30" s="1"/>
  <c r="I30"/>
  <c r="T29"/>
  <c r="K29"/>
  <c r="N29" s="1"/>
  <c r="J48" i="33" s="1"/>
  <c r="J29" i="63"/>
  <c r="M29" s="1"/>
  <c r="F48" i="33" s="1"/>
  <c r="I29" i="63"/>
  <c r="L29" s="1"/>
  <c r="K28"/>
  <c r="N28" s="1"/>
  <c r="J28"/>
  <c r="M28" s="1"/>
  <c r="F47" i="33" s="1"/>
  <c r="I28" i="63"/>
  <c r="L28" s="1"/>
  <c r="E47" i="33" s="1"/>
  <c r="K47" s="1"/>
  <c r="K27" i="63"/>
  <c r="N27" s="1"/>
  <c r="J46" i="33" s="1"/>
  <c r="J27" i="63"/>
  <c r="M27" s="1"/>
  <c r="F46" i="33" s="1"/>
  <c r="I27" i="63"/>
  <c r="L27" s="1"/>
  <c r="T26"/>
  <c r="K26"/>
  <c r="N26" s="1"/>
  <c r="J45" i="33" s="1"/>
  <c r="J26" i="63"/>
  <c r="M26" s="1"/>
  <c r="F45" i="33" s="1"/>
  <c r="I26" i="63"/>
  <c r="L26" s="1"/>
  <c r="E45" i="33" s="1"/>
  <c r="K45" s="1"/>
  <c r="L25" i="63"/>
  <c r="K25"/>
  <c r="N25" s="1"/>
  <c r="J44" i="33" s="1"/>
  <c r="J25" i="63"/>
  <c r="M25" s="1"/>
  <c r="F44" i="33" s="1"/>
  <c r="I25" i="63"/>
  <c r="K24"/>
  <c r="N24" s="1"/>
  <c r="J43" i="33" s="1"/>
  <c r="J24" i="63"/>
  <c r="M24" s="1"/>
  <c r="F43" i="33" s="1"/>
  <c r="I24" i="63"/>
  <c r="L24" s="1"/>
  <c r="E43" i="33" s="1"/>
  <c r="K43" s="1"/>
  <c r="L23" i="63"/>
  <c r="K23"/>
  <c r="N23" s="1"/>
  <c r="J42" i="33" s="1"/>
  <c r="J23" i="63"/>
  <c r="M23" s="1"/>
  <c r="F42" i="33" s="1"/>
  <c r="I23" i="63"/>
  <c r="K22"/>
  <c r="N22" s="1"/>
  <c r="J41" i="33" s="1"/>
  <c r="J22" i="63"/>
  <c r="M22" s="1"/>
  <c r="F41" i="33" s="1"/>
  <c r="I22" i="63"/>
  <c r="L22" s="1"/>
  <c r="E41" i="33" s="1"/>
  <c r="K41" s="1"/>
  <c r="L21" i="63"/>
  <c r="E33" i="33" s="1"/>
  <c r="K21" i="63"/>
  <c r="N21" s="1"/>
  <c r="J33" i="33" s="1"/>
  <c r="J21" i="63"/>
  <c r="M21" s="1"/>
  <c r="I21"/>
  <c r="K20"/>
  <c r="N20" s="1"/>
  <c r="J32" i="33" s="1"/>
  <c r="J20" i="63"/>
  <c r="M20" s="1"/>
  <c r="I20"/>
  <c r="L20" s="1"/>
  <c r="E32" i="33" s="1"/>
  <c r="L19" i="63"/>
  <c r="K19"/>
  <c r="N19" s="1"/>
  <c r="J31" i="33" s="1"/>
  <c r="J19" i="63"/>
  <c r="M19" s="1"/>
  <c r="F31" i="33" s="1"/>
  <c r="I19" i="63"/>
  <c r="K18"/>
  <c r="N18" s="1"/>
  <c r="J30" i="33" s="1"/>
  <c r="J18" i="63"/>
  <c r="M18" s="1"/>
  <c r="I18"/>
  <c r="L18" s="1"/>
  <c r="E30" i="33" s="1"/>
  <c r="N14" i="63"/>
  <c r="M13"/>
  <c r="AA12"/>
  <c r="N12" s="1"/>
  <c r="I16" i="45" s="1"/>
  <c r="M12" i="63"/>
  <c r="M11"/>
  <c r="E15" i="45" s="1"/>
  <c r="N3" i="63"/>
  <c r="C34" i="62"/>
  <c r="C8"/>
  <c r="D22" i="40" s="1"/>
  <c r="C7" i="62"/>
  <c r="E6"/>
  <c r="D6"/>
  <c r="C6"/>
  <c r="E21" i="33" s="1"/>
  <c r="C2" i="62"/>
  <c r="V202" i="61"/>
  <c r="N187"/>
  <c r="N182"/>
  <c r="N176"/>
  <c r="N165"/>
  <c r="N160"/>
  <c r="N154"/>
  <c r="R139"/>
  <c r="Q139"/>
  <c r="Q130"/>
  <c r="H129"/>
  <c r="H128"/>
  <c r="H127"/>
  <c r="Q121"/>
  <c r="Q118"/>
  <c r="H117"/>
  <c r="H116"/>
  <c r="H115"/>
  <c r="F109"/>
  <c r="AD103"/>
  <c r="AD97"/>
  <c r="AD92"/>
  <c r="F81"/>
  <c r="P72"/>
  <c r="D49"/>
  <c r="D47"/>
  <c r="I29"/>
  <c r="I23"/>
  <c r="O19"/>
  <c r="M19" a="1"/>
  <c r="M19" s="1"/>
  <c r="F19"/>
  <c r="O14"/>
  <c r="M14" a="1"/>
  <c r="M14" s="1"/>
  <c r="F14"/>
  <c r="E14"/>
  <c r="G13"/>
  <c r="E13"/>
  <c r="F13" i="56"/>
  <c r="E7"/>
  <c r="F2"/>
  <c r="P10" i="55" a="1"/>
  <c r="P10" s="1"/>
  <c r="K8"/>
  <c r="L10" s="1"/>
  <c r="R10" s="1"/>
  <c r="R2"/>
  <c r="P2" a="1"/>
  <c r="P2" s="1"/>
  <c r="P10" i="54" a="1"/>
  <c r="P10"/>
  <c r="K8"/>
  <c r="L10" s="1"/>
  <c r="R10" s="1"/>
  <c r="J8"/>
  <c r="G8"/>
  <c r="F8"/>
  <c r="E5"/>
  <c r="R2"/>
  <c r="P2" a="1"/>
  <c r="P2" s="1"/>
  <c r="N9" i="53" a="1"/>
  <c r="N9"/>
  <c r="J9"/>
  <c r="P9" s="1"/>
  <c r="E5"/>
  <c r="P2"/>
  <c r="N2" a="1"/>
  <c r="N2" s="1"/>
  <c r="G24" i="52"/>
  <c r="E24"/>
  <c r="G12"/>
  <c r="F12"/>
  <c r="F2" i="55" s="1"/>
  <c r="E12" i="52"/>
  <c r="D6"/>
  <c r="D5"/>
  <c r="BA115" i="51"/>
  <c r="BA114"/>
  <c r="BA113"/>
  <c r="BA102"/>
  <c r="BA100"/>
  <c r="BA99"/>
  <c r="I53"/>
  <c r="H53"/>
  <c r="G53"/>
  <c r="I52"/>
  <c r="I51"/>
  <c r="I50"/>
  <c r="H50"/>
  <c r="G50"/>
  <c r="I49"/>
  <c r="H49"/>
  <c r="G49"/>
  <c r="I48"/>
  <c r="H48"/>
  <c r="G48"/>
  <c r="I47"/>
  <c r="I45" s="1"/>
  <c r="H47"/>
  <c r="F29" s="1"/>
  <c r="G47"/>
  <c r="I46"/>
  <c r="K45"/>
  <c r="G44"/>
  <c r="H51" s="1"/>
  <c r="G36"/>
  <c r="E4" i="62" s="1"/>
  <c r="C4" s="1"/>
  <c r="D4" i="7" s="1"/>
  <c r="F36" i="51"/>
  <c r="U148" i="63" s="1"/>
  <c r="M148" s="1"/>
  <c r="E12" i="46" s="1"/>
  <c r="F32" i="51"/>
  <c r="L5"/>
  <c r="L4"/>
  <c r="L3"/>
  <c r="L6" s="1"/>
  <c r="I14" i="50"/>
  <c r="G14"/>
  <c r="G11"/>
  <c r="G10"/>
  <c r="G9"/>
  <c r="D6"/>
  <c r="E13" i="49"/>
  <c r="H12"/>
  <c r="E12"/>
  <c r="E10"/>
  <c r="D6"/>
  <c r="F324" i="48"/>
  <c r="F312"/>
  <c r="F300"/>
  <c r="F288"/>
  <c r="F276"/>
  <c r="F269"/>
  <c r="F260"/>
  <c r="F248"/>
  <c r="F236"/>
  <c r="F224"/>
  <c r="F212"/>
  <c r="F208"/>
  <c r="F202"/>
  <c r="F190"/>
  <c r="F178"/>
  <c r="F166"/>
  <c r="F154"/>
  <c r="F147"/>
  <c r="F138"/>
  <c r="F126"/>
  <c r="F114"/>
  <c r="F102"/>
  <c r="F90"/>
  <c r="F84"/>
  <c r="F78"/>
  <c r="F66"/>
  <c r="F54"/>
  <c r="F42"/>
  <c r="F30"/>
  <c r="F23"/>
  <c r="G17"/>
  <c r="F17"/>
  <c r="G16"/>
  <c r="F16"/>
  <c r="N7"/>
  <c r="N4"/>
  <c r="N1"/>
  <c r="E42" i="47"/>
  <c r="E38"/>
  <c r="E35"/>
  <c r="E32"/>
  <c r="E31"/>
  <c r="E28"/>
  <c r="E25"/>
  <c r="E24"/>
  <c r="D15"/>
  <c r="G17" i="46"/>
  <c r="E16"/>
  <c r="G14"/>
  <c r="E13"/>
  <c r="D6"/>
  <c r="F21" i="45"/>
  <c r="H19"/>
  <c r="G19"/>
  <c r="F19"/>
  <c r="I18"/>
  <c r="E17"/>
  <c r="E16"/>
  <c r="H14"/>
  <c r="G14"/>
  <c r="G11"/>
  <c r="G10"/>
  <c r="G9"/>
  <c r="D6"/>
  <c r="F2"/>
  <c r="F6" i="44"/>
  <c r="H57" i="43"/>
  <c r="H56"/>
  <c r="H55"/>
  <c r="I54"/>
  <c r="H54"/>
  <c r="H53"/>
  <c r="H52"/>
  <c r="H51"/>
  <c r="H50"/>
  <c r="I49"/>
  <c r="H49"/>
  <c r="I48"/>
  <c r="H48"/>
  <c r="H47"/>
  <c r="H46"/>
  <c r="H45"/>
  <c r="I44"/>
  <c r="H44" s="1"/>
  <c r="H43"/>
  <c r="H42"/>
  <c r="H41"/>
  <c r="H40"/>
  <c r="I39"/>
  <c r="H39" s="1"/>
  <c r="H35"/>
  <c r="H34"/>
  <c r="H33"/>
  <c r="I32"/>
  <c r="H32"/>
  <c r="H31"/>
  <c r="H30"/>
  <c r="H29"/>
  <c r="I28"/>
  <c r="H28" s="1"/>
  <c r="H27"/>
  <c r="H26"/>
  <c r="H25"/>
  <c r="H24"/>
  <c r="H23"/>
  <c r="H22"/>
  <c r="H21"/>
  <c r="H20"/>
  <c r="H19"/>
  <c r="H18"/>
  <c r="H17"/>
  <c r="H16"/>
  <c r="I15"/>
  <c r="H15" s="1"/>
  <c r="H11"/>
  <c r="F6"/>
  <c r="F6" i="42"/>
  <c r="H15" i="41"/>
  <c r="F6"/>
  <c r="G28" i="40"/>
  <c r="G27"/>
  <c r="G26"/>
  <c r="D23"/>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F130" i="33"/>
  <c r="E129"/>
  <c r="E127"/>
  <c r="F126"/>
  <c r="F123"/>
  <c r="F120"/>
  <c r="F117"/>
  <c r="E115"/>
  <c r="F113"/>
  <c r="E111"/>
  <c r="F109"/>
  <c r="E107"/>
  <c r="F105"/>
  <c r="E103"/>
  <c r="E99"/>
  <c r="E100" s="1"/>
  <c r="F98"/>
  <c r="E97"/>
  <c r="E95"/>
  <c r="F94"/>
  <c r="E93"/>
  <c r="E91"/>
  <c r="F90"/>
  <c r="E89"/>
  <c r="I87"/>
  <c r="H87"/>
  <c r="E87"/>
  <c r="F86"/>
  <c r="E85"/>
  <c r="E83"/>
  <c r="F82"/>
  <c r="E81"/>
  <c r="J79"/>
  <c r="E79"/>
  <c r="E78"/>
  <c r="E77"/>
  <c r="F76"/>
  <c r="E75"/>
  <c r="E73"/>
  <c r="F72"/>
  <c r="I69"/>
  <c r="H69"/>
  <c r="F69"/>
  <c r="F67"/>
  <c r="K65"/>
  <c r="K64"/>
  <c r="K63"/>
  <c r="K62"/>
  <c r="K61"/>
  <c r="K60"/>
  <c r="F60"/>
  <c r="K59"/>
  <c r="F59"/>
  <c r="K58"/>
  <c r="F58"/>
  <c r="K57"/>
  <c r="F57"/>
  <c r="K56"/>
  <c r="F56"/>
  <c r="K55"/>
  <c r="F55"/>
  <c r="F54"/>
  <c r="J53"/>
  <c r="K52"/>
  <c r="F52"/>
  <c r="F51"/>
  <c r="J50"/>
  <c r="F49"/>
  <c r="E48"/>
  <c r="K48" s="1"/>
  <c r="J47"/>
  <c r="K46"/>
  <c r="E46"/>
  <c r="K44"/>
  <c r="E44"/>
  <c r="K42"/>
  <c r="E42"/>
  <c r="K40"/>
  <c r="K39"/>
  <c r="K38"/>
  <c r="K37"/>
  <c r="K36"/>
  <c r="K35"/>
  <c r="K34"/>
  <c r="I33"/>
  <c r="H33"/>
  <c r="F33"/>
  <c r="K32"/>
  <c r="F32"/>
  <c r="E31"/>
  <c r="F30"/>
  <c r="H27"/>
  <c r="H26"/>
  <c r="H25"/>
  <c r="E22"/>
  <c r="E7"/>
  <c r="E6"/>
  <c r="E5"/>
  <c r="E4"/>
  <c r="I3"/>
  <c r="H3"/>
  <c r="E2"/>
  <c r="BF63" i="32"/>
  <c r="BF62"/>
  <c r="BF61"/>
  <c r="BF60"/>
  <c r="BF59"/>
  <c r="BF58"/>
  <c r="BF57"/>
  <c r="BF56"/>
  <c r="BB56"/>
  <c r="AW56"/>
  <c r="AU56"/>
  <c r="Y56"/>
  <c r="W56"/>
  <c r="BF52"/>
  <c r="BF51"/>
  <c r="J51"/>
  <c r="BF50"/>
  <c r="I50"/>
  <c r="BF49"/>
  <c r="BF48"/>
  <c r="S48"/>
  <c r="K52" s="1"/>
  <c r="S52" s="1"/>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S42"/>
  <c r="AM41"/>
  <c r="AN41" s="1"/>
  <c r="AO41" s="1"/>
  <c r="AQ41" s="1"/>
  <c r="AR41" s="1"/>
  <c r="AS41" s="1"/>
  <c r="AC41"/>
  <c r="AD41" s="1"/>
  <c r="AF41" s="1"/>
  <c r="AG41" s="1"/>
  <c r="AB41"/>
  <c r="V41"/>
  <c r="U41"/>
  <c r="AG33"/>
  <c r="V33"/>
  <c r="AG32"/>
  <c r="V32"/>
  <c r="AG30"/>
  <c r="V30"/>
  <c r="AG29"/>
  <c r="V29"/>
  <c r="AG28"/>
  <c r="V28"/>
  <c r="AG27"/>
  <c r="V27"/>
  <c r="S25"/>
  <c r="S24"/>
  <c r="AM16"/>
  <c r="AV13"/>
  <c r="AV12"/>
  <c r="AV11"/>
  <c r="AV10"/>
  <c r="AV9"/>
  <c r="AV8"/>
  <c r="AM8"/>
  <c r="AB8"/>
  <c r="AV7"/>
  <c r="AS7"/>
  <c r="AV6"/>
  <c r="AV5"/>
  <c r="AV4"/>
  <c r="AG4"/>
  <c r="S4"/>
  <c r="I5" s="1"/>
  <c r="J6" s="1"/>
  <c r="AV3"/>
  <c r="AG3"/>
  <c r="S3"/>
  <c r="AV2"/>
  <c r="AS2"/>
  <c r="AG2"/>
  <c r="S2"/>
  <c r="AV54" i="30"/>
  <c r="AV53"/>
  <c r="AV52"/>
  <c r="AV51"/>
  <c r="AV50"/>
  <c r="AV49"/>
  <c r="AV48"/>
  <c r="AV47"/>
  <c r="AS47"/>
  <c r="AV46"/>
  <c r="AV45"/>
  <c r="AV44"/>
  <c r="S44"/>
  <c r="I45" s="1"/>
  <c r="J46" s="1"/>
  <c r="AV43"/>
  <c r="AV42"/>
  <c r="AS42"/>
  <c r="AM41"/>
  <c r="AN41" s="1"/>
  <c r="AO41" s="1"/>
  <c r="AQ41" s="1"/>
  <c r="AR41" s="1"/>
  <c r="AS41" s="1"/>
  <c r="AD41"/>
  <c r="AF41" s="1"/>
  <c r="AG41" s="1"/>
  <c r="AC41"/>
  <c r="V41"/>
  <c r="U41"/>
  <c r="AG33"/>
  <c r="V33"/>
  <c r="AG32"/>
  <c r="V32"/>
  <c r="AG30"/>
  <c r="V30"/>
  <c r="AG29"/>
  <c r="V29"/>
  <c r="AG28"/>
  <c r="V28"/>
  <c r="AG27"/>
  <c r="V27"/>
  <c r="S25"/>
  <c r="S24"/>
  <c r="AV13"/>
  <c r="AV12"/>
  <c r="AV11"/>
  <c r="AV10"/>
  <c r="AV9"/>
  <c r="AV8"/>
  <c r="AV7"/>
  <c r="AS7"/>
  <c r="AV6"/>
  <c r="AV5"/>
  <c r="I5"/>
  <c r="AV4"/>
  <c r="AG4"/>
  <c r="S4"/>
  <c r="AV3"/>
  <c r="AG3"/>
  <c r="S3"/>
  <c r="AV2"/>
  <c r="AS2"/>
  <c r="AG2"/>
  <c r="S2"/>
  <c r="BF63" i="29"/>
  <c r="BF62"/>
  <c r="BF61"/>
  <c r="BF60"/>
  <c r="BF59"/>
  <c r="BF58"/>
  <c r="BF57"/>
  <c r="BF56"/>
  <c r="BB56"/>
  <c r="AW56"/>
  <c r="AU56"/>
  <c r="Y56"/>
  <c r="W56"/>
  <c r="BF52"/>
  <c r="BF51"/>
  <c r="J51"/>
  <c r="BF50"/>
  <c r="I50"/>
  <c r="BF49"/>
  <c r="BF48"/>
  <c r="BF47"/>
  <c r="BF46"/>
  <c r="BC46"/>
  <c r="AD46"/>
  <c r="AX45"/>
  <c r="AY45" s="1"/>
  <c r="BA45" s="1"/>
  <c r="BB45" s="1"/>
  <c r="BC45" s="1"/>
  <c r="AW45"/>
  <c r="W45"/>
  <c r="X45" s="1"/>
  <c r="Y45" s="1"/>
  <c r="Z45" s="1"/>
  <c r="AA45" s="1"/>
  <c r="AC45" s="1"/>
  <c r="AD45" s="1"/>
  <c r="U45"/>
  <c r="V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C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AC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BF63" i="26"/>
  <c r="BF62"/>
  <c r="BF61"/>
  <c r="BF60"/>
  <c r="BF59"/>
  <c r="BF58"/>
  <c r="BF57"/>
  <c r="BF56"/>
  <c r="BB56"/>
  <c r="AW56"/>
  <c r="AU56"/>
  <c r="Y56"/>
  <c r="W56"/>
  <c r="BF52"/>
  <c r="BF51"/>
  <c r="J51"/>
  <c r="BF50"/>
  <c r="I50"/>
  <c r="BF49"/>
  <c r="BF48"/>
  <c r="S48"/>
  <c r="K52" s="1"/>
  <c r="S52" s="1"/>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S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AN4"/>
  <c r="AC4"/>
  <c r="S4"/>
  <c r="AN3"/>
  <c r="AC3"/>
  <c r="S3"/>
  <c r="AN2"/>
  <c r="AC2"/>
  <c r="S2"/>
  <c r="AN53" i="24"/>
  <c r="AN52"/>
  <c r="AN51"/>
  <c r="AN50"/>
  <c r="AN49"/>
  <c r="AN48"/>
  <c r="AN47"/>
  <c r="AE47"/>
  <c r="X47"/>
  <c r="AN46"/>
  <c r="AK46"/>
  <c r="AN45"/>
  <c r="AN44"/>
  <c r="AN43"/>
  <c r="S43"/>
  <c r="I44" s="1"/>
  <c r="J45" s="1"/>
  <c r="AN42"/>
  <c r="AN41"/>
  <c r="AK41"/>
  <c r="W40"/>
  <c r="X40" s="1"/>
  <c r="Y40" s="1"/>
  <c r="Z40" s="1"/>
  <c r="AB40" s="1"/>
  <c r="AC40" s="1"/>
  <c r="AD40" s="1"/>
  <c r="AE40" s="1"/>
  <c r="AF40" s="1"/>
  <c r="AG40" s="1"/>
  <c r="AI40" s="1"/>
  <c r="AJ40" s="1"/>
  <c r="AK40" s="1"/>
  <c r="U40"/>
  <c r="V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2"/>
  <c r="AN52"/>
  <c r="AN51"/>
  <c r="AN50"/>
  <c r="AN49"/>
  <c r="AN48"/>
  <c r="AN47"/>
  <c r="AE47"/>
  <c r="X47"/>
  <c r="AN46"/>
  <c r="AK46"/>
  <c r="AN45"/>
  <c r="AN44"/>
  <c r="AN43"/>
  <c r="S43"/>
  <c r="I44" s="1"/>
  <c r="J45" s="1"/>
  <c r="AN42"/>
  <c r="AN41"/>
  <c r="AK41"/>
  <c r="W40"/>
  <c r="X40" s="1"/>
  <c r="Y40" s="1"/>
  <c r="Z40" s="1"/>
  <c r="AB40" s="1"/>
  <c r="AC40" s="1"/>
  <c r="AD40" s="1"/>
  <c r="AE40" s="1"/>
  <c r="AF40" s="1"/>
  <c r="AG40" s="1"/>
  <c r="AI40" s="1"/>
  <c r="AJ40" s="1"/>
  <c r="AK40" s="1"/>
  <c r="U40"/>
  <c r="V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X62" i="20"/>
  <c r="AX61"/>
  <c r="AX60"/>
  <c r="AX59"/>
  <c r="AX58"/>
  <c r="AX57"/>
  <c r="AX56"/>
  <c r="AX55"/>
  <c r="AX54"/>
  <c r="AO54"/>
  <c r="W54"/>
  <c r="AX51"/>
  <c r="AX50"/>
  <c r="AX49"/>
  <c r="AX48"/>
  <c r="AX47"/>
  <c r="AX46"/>
  <c r="AX45"/>
  <c r="AU45"/>
  <c r="AB45"/>
  <c r="AN44"/>
  <c r="AO44" s="1"/>
  <c r="AP44" s="1"/>
  <c r="AQ44" s="1"/>
  <c r="AS44" s="1"/>
  <c r="AT44" s="1"/>
  <c r="AU44" s="1"/>
  <c r="V44"/>
  <c r="W44" s="1"/>
  <c r="X44" s="1"/>
  <c r="Y44" s="1"/>
  <c r="AA44" s="1"/>
  <c r="AB44" s="1"/>
  <c r="U44"/>
  <c r="V42"/>
  <c r="AB36"/>
  <c r="V36"/>
  <c r="AB35"/>
  <c r="V35"/>
  <c r="AB33"/>
  <c r="V33"/>
  <c r="AB32"/>
  <c r="V32"/>
  <c r="AB31"/>
  <c r="V31"/>
  <c r="AB30"/>
  <c r="V30"/>
  <c r="S28"/>
  <c r="S27"/>
  <c r="AX17"/>
  <c r="AX16"/>
  <c r="AX15"/>
  <c r="AX14"/>
  <c r="AX13"/>
  <c r="AX12"/>
  <c r="AX11"/>
  <c r="AO11"/>
  <c r="W11"/>
  <c r="AX8"/>
  <c r="AX7"/>
  <c r="AX6"/>
  <c r="AX5"/>
  <c r="AB5"/>
  <c r="S5"/>
  <c r="AX4"/>
  <c r="AB4"/>
  <c r="S4"/>
  <c r="AX3"/>
  <c r="AB3"/>
  <c r="S3"/>
  <c r="AX2"/>
  <c r="AB2"/>
  <c r="S2"/>
  <c r="AT65" i="19"/>
  <c r="AT64"/>
  <c r="AT63"/>
  <c r="AT62"/>
  <c r="AT61"/>
  <c r="AT60"/>
  <c r="AT59"/>
  <c r="AT58"/>
  <c r="AT57"/>
  <c r="AK57"/>
  <c r="AB57"/>
  <c r="AT56"/>
  <c r="AT55"/>
  <c r="AT54"/>
  <c r="AT53"/>
  <c r="AT52"/>
  <c r="AT51"/>
  <c r="AG51"/>
  <c r="AT50"/>
  <c r="AT49"/>
  <c r="AQ49"/>
  <c r="AK48"/>
  <c r="AL48" s="1"/>
  <c r="AM48" s="1"/>
  <c r="AO48" s="1"/>
  <c r="AP48" s="1"/>
  <c r="AQ48" s="1"/>
  <c r="AJ48"/>
  <c r="AB48"/>
  <c r="AC48" s="1"/>
  <c r="AD48" s="1"/>
  <c r="AF48" s="1"/>
  <c r="AG48" s="1"/>
  <c r="AA48"/>
  <c r="X48"/>
  <c r="W48"/>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D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7"/>
  <c r="AP56"/>
  <c r="AP55"/>
  <c r="AP54"/>
  <c r="AP53"/>
  <c r="AP52"/>
  <c r="AP51"/>
  <c r="AP50"/>
  <c r="AG50"/>
  <c r="Y50"/>
  <c r="AP49"/>
  <c r="AP48"/>
  <c r="AP47"/>
  <c r="AP46"/>
  <c r="AP45"/>
  <c r="AP44"/>
  <c r="AP43"/>
  <c r="AM43"/>
  <c r="S43"/>
  <c r="AF42"/>
  <c r="AG42" s="1"/>
  <c r="AH42" s="1"/>
  <c r="AI42" s="1"/>
  <c r="AK42" s="1"/>
  <c r="AL42" s="1"/>
  <c r="AM42" s="1"/>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D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5"/>
  <c r="AP56"/>
  <c r="AP55"/>
  <c r="AP54"/>
  <c r="AP53"/>
  <c r="AP52"/>
  <c r="AP51"/>
  <c r="AP50"/>
  <c r="AG50"/>
  <c r="Y50"/>
  <c r="AP49"/>
  <c r="AP48"/>
  <c r="AP47"/>
  <c r="AP46"/>
  <c r="AP45"/>
  <c r="S45"/>
  <c r="AP44"/>
  <c r="AP43"/>
  <c r="AM43"/>
  <c r="AH42"/>
  <c r="AI42" s="1"/>
  <c r="AK42" s="1"/>
  <c r="AL42" s="1"/>
  <c r="AM42" s="1"/>
  <c r="AF42"/>
  <c r="AG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D43"/>
  <c r="AF42"/>
  <c r="AG42" s="1"/>
  <c r="AH42" s="1"/>
  <c r="AI42" s="1"/>
  <c r="AK42" s="1"/>
  <c r="AL42" s="1"/>
  <c r="AM42" s="1"/>
  <c r="Z42"/>
  <c r="AA42" s="1"/>
  <c r="AC42" s="1"/>
  <c r="AD42" s="1"/>
  <c r="X42"/>
  <c r="Y42" s="1"/>
  <c r="U42"/>
  <c r="V42" s="1"/>
  <c r="AD35"/>
  <c r="V35"/>
  <c r="AD34"/>
  <c r="V34"/>
  <c r="AD32"/>
  <c r="V32"/>
  <c r="AD31"/>
  <c r="V31"/>
  <c r="AD30"/>
  <c r="V30"/>
  <c r="AD29"/>
  <c r="V29"/>
  <c r="S27"/>
  <c r="S26"/>
  <c r="AG18"/>
  <c r="AP15"/>
  <c r="AP14"/>
  <c r="AP13"/>
  <c r="AP12"/>
  <c r="AP11"/>
  <c r="AP10"/>
  <c r="AP9"/>
  <c r="AG9"/>
  <c r="Y9"/>
  <c r="AP8"/>
  <c r="AP7"/>
  <c r="AP6"/>
  <c r="I6"/>
  <c r="AP5"/>
  <c r="AD5"/>
  <c r="S5"/>
  <c r="AP4"/>
  <c r="AD4"/>
  <c r="S4"/>
  <c r="AP3"/>
  <c r="AD3"/>
  <c r="S3"/>
  <c r="AP2"/>
  <c r="AD2"/>
  <c r="S2"/>
  <c r="AP57" i="13"/>
  <c r="AP56"/>
  <c r="AP55"/>
  <c r="AP54"/>
  <c r="AP53"/>
  <c r="AP52"/>
  <c r="AP51"/>
  <c r="AP50"/>
  <c r="AG50"/>
  <c r="Y50"/>
  <c r="AP49"/>
  <c r="AP48"/>
  <c r="AP47"/>
  <c r="AP46"/>
  <c r="AP45"/>
  <c r="S45"/>
  <c r="AP44"/>
  <c r="AP43"/>
  <c r="AM43"/>
  <c r="AH42"/>
  <c r="AI42" s="1"/>
  <c r="AK42" s="1"/>
  <c r="AL42" s="1"/>
  <c r="AM42" s="1"/>
  <c r="AF42"/>
  <c r="AG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D43"/>
  <c r="AF42"/>
  <c r="AG42" s="1"/>
  <c r="AH42" s="1"/>
  <c r="AI42" s="1"/>
  <c r="AK42" s="1"/>
  <c r="AL42" s="1"/>
  <c r="AM42" s="1"/>
  <c r="Z42"/>
  <c r="AA42" s="1"/>
  <c r="AC42" s="1"/>
  <c r="AD42" s="1"/>
  <c r="X42"/>
  <c r="Y42" s="1"/>
  <c r="U42"/>
  <c r="V42" s="1"/>
  <c r="AD35"/>
  <c r="V35"/>
  <c r="AD34"/>
  <c r="V34"/>
  <c r="AD32"/>
  <c r="V32"/>
  <c r="AD31"/>
  <c r="V31"/>
  <c r="AD30"/>
  <c r="V30"/>
  <c r="AD29"/>
  <c r="V29"/>
  <c r="S27"/>
  <c r="S26"/>
  <c r="AG18"/>
  <c r="AP15"/>
  <c r="AP14"/>
  <c r="AP13"/>
  <c r="AP12"/>
  <c r="AP11"/>
  <c r="AP10"/>
  <c r="AP9"/>
  <c r="AG9"/>
  <c r="Y9"/>
  <c r="AP8"/>
  <c r="AP7"/>
  <c r="AP6"/>
  <c r="I6"/>
  <c r="AP5"/>
  <c r="AD5"/>
  <c r="S5"/>
  <c r="AP4"/>
  <c r="AD4"/>
  <c r="S4"/>
  <c r="AP3"/>
  <c r="AD3"/>
  <c r="S3"/>
  <c r="AP2"/>
  <c r="AD2"/>
  <c r="S2"/>
  <c r="AP57" i="11"/>
  <c r="AP56"/>
  <c r="AP55"/>
  <c r="AP54"/>
  <c r="AP53"/>
  <c r="AP52"/>
  <c r="AP51"/>
  <c r="AP50"/>
  <c r="AG50"/>
  <c r="Y50"/>
  <c r="AP49"/>
  <c r="AP48"/>
  <c r="AP47"/>
  <c r="AP46"/>
  <c r="AP45"/>
  <c r="S45"/>
  <c r="AP44"/>
  <c r="AP43"/>
  <c r="AM43"/>
  <c r="AH42"/>
  <c r="AI42" s="1"/>
  <c r="AK42" s="1"/>
  <c r="AL42" s="1"/>
  <c r="AM42" s="1"/>
  <c r="AF42"/>
  <c r="AG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54" i="7"/>
  <c r="D53"/>
  <c r="G51"/>
  <c r="E46"/>
  <c r="G45"/>
  <c r="E44"/>
  <c r="G43"/>
  <c r="E43"/>
  <c r="G39"/>
  <c r="E39"/>
  <c r="E38"/>
  <c r="E37"/>
  <c r="G36"/>
  <c r="E36"/>
  <c r="G35"/>
  <c r="E35"/>
  <c r="G34"/>
  <c r="E34"/>
  <c r="E33"/>
  <c r="D33"/>
  <c r="D36" s="1"/>
  <c r="A33"/>
  <c r="G29"/>
  <c r="G28"/>
  <c r="G27"/>
  <c r="D22"/>
  <c r="D20"/>
  <c r="D19"/>
  <c r="D23" s="1"/>
  <c r="E18"/>
  <c r="G17"/>
  <c r="E17"/>
  <c r="G16"/>
  <c r="E16"/>
  <c r="F15"/>
  <c r="F14"/>
  <c r="G13"/>
  <c r="E13"/>
  <c r="E12"/>
  <c r="F11"/>
  <c r="D5"/>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K126"/>
  <c r="AC42" i="28" s="1"/>
  <c r="AJ126" i="5"/>
  <c r="AI126"/>
  <c r="AH126"/>
  <c r="AQ121"/>
  <c r="AP121"/>
  <c r="S43" i="27" s="1"/>
  <c r="I44" s="1"/>
  <c r="AO121" i="5"/>
  <c r="S42" i="27" s="1"/>
  <c r="AN121" i="5"/>
  <c r="S41" i="27" s="1"/>
  <c r="AM121" i="5"/>
  <c r="AL121"/>
  <c r="AC43" i="27" s="1"/>
  <c r="AK121" i="5"/>
  <c r="AC42" i="27" s="1"/>
  <c r="AJ121" i="5"/>
  <c r="AI121"/>
  <c r="AH121"/>
  <c r="AQ115"/>
  <c r="AP115"/>
  <c r="AO115"/>
  <c r="S47" i="32" s="1"/>
  <c r="AN115" i="5"/>
  <c r="S46" i="32" s="1"/>
  <c r="AM115" i="5"/>
  <c r="AL115"/>
  <c r="AD48" i="32" s="1"/>
  <c r="AK115" i="5"/>
  <c r="AD47" i="32" s="1"/>
  <c r="AJ115" i="5"/>
  <c r="AI115"/>
  <c r="AH115"/>
  <c r="AQ110"/>
  <c r="AP110"/>
  <c r="S44" i="31" s="1"/>
  <c r="I45" s="1"/>
  <c r="AO110" i="5"/>
  <c r="S43" i="31" s="1"/>
  <c r="AN110" i="5"/>
  <c r="AM110"/>
  <c r="AL110"/>
  <c r="AG44" i="31" s="1"/>
  <c r="AK110" i="5"/>
  <c r="AG43" i="31" s="1"/>
  <c r="AJ110" i="5"/>
  <c r="AI110"/>
  <c r="AH110"/>
  <c r="AQ105"/>
  <c r="AP105"/>
  <c r="AO105"/>
  <c r="S43" i="30" s="1"/>
  <c r="AN105" i="5"/>
  <c r="S42" i="30" s="1"/>
  <c r="AM105" i="5"/>
  <c r="AL105"/>
  <c r="AG44" i="30" s="1"/>
  <c r="AK105" i="5"/>
  <c r="AG43" i="30" s="1"/>
  <c r="AJ105" i="5"/>
  <c r="AI105"/>
  <c r="AH105"/>
  <c r="AQ99"/>
  <c r="AP99"/>
  <c r="AO99"/>
  <c r="S47" i="26" s="1"/>
  <c r="AN99" i="5"/>
  <c r="S46" i="26" s="1"/>
  <c r="AM99" i="5"/>
  <c r="AL99"/>
  <c r="AD48" i="26" s="1"/>
  <c r="AK99" i="5"/>
  <c r="AD47" i="26" s="1"/>
  <c r="AJ99" i="5"/>
  <c r="AI99"/>
  <c r="AH99"/>
  <c r="AQ94"/>
  <c r="AP94"/>
  <c r="AO94"/>
  <c r="S42" i="24" s="1"/>
  <c r="AN94" i="5"/>
  <c r="S41" i="24" s="1"/>
  <c r="AM94" i="5"/>
  <c r="AL94"/>
  <c r="AC43" i="24" s="1"/>
  <c r="AK94" i="5"/>
  <c r="AC42" i="24" s="1"/>
  <c r="AJ94" i="5"/>
  <c r="AI94"/>
  <c r="AH94"/>
  <c r="AQ89"/>
  <c r="AP89"/>
  <c r="S43" i="23" s="1"/>
  <c r="I44" s="1"/>
  <c r="AO89" i="5"/>
  <c r="S42" i="23" s="1"/>
  <c r="AN89" i="5"/>
  <c r="AM89"/>
  <c r="AL89"/>
  <c r="AC43" i="23" s="1"/>
  <c r="AK89" i="5"/>
  <c r="AC42" i="23" s="1"/>
  <c r="AJ89" i="5"/>
  <c r="AI89"/>
  <c r="AH89"/>
  <c r="AQ84"/>
  <c r="AP84"/>
  <c r="AO84"/>
  <c r="S42" i="22" s="1"/>
  <c r="AN84" i="5"/>
  <c r="S41" i="22" s="1"/>
  <c r="AM84" i="5"/>
  <c r="AL84"/>
  <c r="AC43" i="22" s="1"/>
  <c r="AK84" i="5"/>
  <c r="AC42" i="22" s="1"/>
  <c r="AJ84" i="5"/>
  <c r="AI84"/>
  <c r="AH84"/>
  <c r="AQ79"/>
  <c r="AP79"/>
  <c r="S43" i="21" s="1"/>
  <c r="I44" s="1"/>
  <c r="AO79" i="5"/>
  <c r="S42" i="21" s="1"/>
  <c r="AN79" i="5"/>
  <c r="AM79"/>
  <c r="AL79"/>
  <c r="AC43" i="21" s="1"/>
  <c r="AK79" i="5"/>
  <c r="AC42" i="21" s="1"/>
  <c r="AJ79" i="5"/>
  <c r="AI79"/>
  <c r="AH79"/>
  <c r="AQ63"/>
  <c r="AP63"/>
  <c r="S45" i="14" s="1"/>
  <c r="AO63" i="5"/>
  <c r="AN63"/>
  <c r="AM63"/>
  <c r="AD46" i="14" s="1"/>
  <c r="AL63" i="5"/>
  <c r="AK63"/>
  <c r="AD44" i="14" s="1"/>
  <c r="AJ63" i="5"/>
  <c r="AD43" i="13" s="1"/>
  <c r="AI63" i="5"/>
  <c r="AH63"/>
  <c r="AQ58"/>
  <c r="S45" i="25" s="1"/>
  <c r="K48" s="1"/>
  <c r="S48" s="1"/>
  <c r="AP58" i="5"/>
  <c r="AO58"/>
  <c r="S43" i="25" s="1"/>
  <c r="AN58" i="5"/>
  <c r="S42" i="25" s="1"/>
  <c r="AM58" i="5"/>
  <c r="AC45" i="25" s="1"/>
  <c r="AL58" i="5"/>
  <c r="AC44" i="25" s="1"/>
  <c r="AK58" i="5"/>
  <c r="AC43" i="25" s="1"/>
  <c r="AJ58" i="5"/>
  <c r="AI58"/>
  <c r="AH58"/>
  <c r="AQ53"/>
  <c r="S48" i="20" s="1"/>
  <c r="K51" s="1"/>
  <c r="S51" s="1"/>
  <c r="AP53" i="5"/>
  <c r="S47" i="20" s="1"/>
  <c r="AO53" i="5"/>
  <c r="S46" i="20" s="1"/>
  <c r="AN53" i="5"/>
  <c r="S45" i="20" s="1"/>
  <c r="AM53" i="5"/>
  <c r="AB48" i="20" s="1"/>
  <c r="AL53" i="5"/>
  <c r="AB47" i="20" s="1"/>
  <c r="AK53" i="5"/>
  <c r="AB46" i="20" s="1"/>
  <c r="AJ53" i="5"/>
  <c r="AI53"/>
  <c r="AH53"/>
  <c r="AQ48"/>
  <c r="S46" i="15" s="1"/>
  <c r="I47" s="1"/>
  <c r="AP48" i="5"/>
  <c r="AO48"/>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K43"/>
  <c r="AD44" i="18" s="1"/>
  <c r="AJ43" i="5"/>
  <c r="AI43"/>
  <c r="AH43"/>
  <c r="AQ38"/>
  <c r="S46" i="17" s="1"/>
  <c r="AP38" i="5"/>
  <c r="S45" i="17" s="1"/>
  <c r="AO38" i="5"/>
  <c r="S44" i="17" s="1"/>
  <c r="AN38" i="5"/>
  <c r="AM38"/>
  <c r="AD46" i="17" s="1"/>
  <c r="AL38" i="5"/>
  <c r="AD45" i="17" s="1"/>
  <c r="AK38" i="5"/>
  <c r="AD44" i="17" s="1"/>
  <c r="AJ38" i="5"/>
  <c r="AI38"/>
  <c r="AH38"/>
  <c r="AQ33"/>
  <c r="U52" i="19" s="1"/>
  <c r="I53" s="1"/>
  <c r="J54" s="1"/>
  <c r="AP33" i="5"/>
  <c r="U51" i="19" s="1"/>
  <c r="AO33" i="5"/>
  <c r="U50" i="19" s="1"/>
  <c r="AN33" i="5"/>
  <c r="U49" i="19" s="1"/>
  <c r="AM33" i="5"/>
  <c r="AG52" i="19" s="1"/>
  <c r="AL33" i="5"/>
  <c r="AK33"/>
  <c r="AG50" i="19" s="1"/>
  <c r="AJ33" i="5"/>
  <c r="AI33"/>
  <c r="AH33"/>
  <c r="AQ28"/>
  <c r="L22" i="64" s="1"/>
  <c r="F23" s="1"/>
  <c r="AP28" i="5"/>
  <c r="AO28"/>
  <c r="L20" i="64" s="1"/>
  <c r="AN28" i="5"/>
  <c r="L19" i="64" s="1"/>
  <c r="AM28" i="5"/>
  <c r="AL28"/>
  <c r="O21" i="64" s="1"/>
  <c r="AK28" i="5"/>
  <c r="AJ28"/>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AO13"/>
  <c r="S44" i="11" s="1"/>
  <c r="AN13" i="5"/>
  <c r="S43" i="11" s="1"/>
  <c r="AM13" i="5"/>
  <c r="AD46" i="11" s="1"/>
  <c r="AL13" i="5"/>
  <c r="AD45" i="11" s="1"/>
  <c r="AK13" i="5"/>
  <c r="AD44" i="11" s="1"/>
  <c r="AJ13" i="5"/>
  <c r="AI13"/>
  <c r="AH13"/>
  <c r="D6"/>
  <c r="D5"/>
  <c r="R13" i="4"/>
  <c r="E13"/>
  <c r="P13" s="1"/>
  <c r="E7"/>
  <c r="D5"/>
  <c r="O13" i="3"/>
  <c r="M13" a="1"/>
  <c r="M13"/>
  <c r="E13"/>
  <c r="E12"/>
  <c r="G12" s="1"/>
  <c r="I13" i="4" s="1"/>
  <c r="Q13" s="1"/>
  <c r="E4" i="3"/>
  <c r="E59" i="2"/>
  <c r="E49"/>
  <c r="E41"/>
  <c r="E31"/>
  <c r="E27"/>
  <c r="E26"/>
  <c r="F25"/>
  <c r="E22"/>
  <c r="E21"/>
  <c r="F20"/>
  <c r="E19"/>
  <c r="I9"/>
  <c r="E3"/>
  <c r="E2"/>
  <c r="Y25" i="64"/>
  <c r="M10" i="54"/>
  <c r="M10" i="55"/>
  <c r="M2"/>
  <c r="M2" i="54"/>
  <c r="AT47" i="31"/>
  <c r="AT7" i="30"/>
  <c r="AL46" i="28"/>
  <c r="AL7" i="27"/>
  <c r="AL8" i="25"/>
  <c r="AL7" i="24"/>
  <c r="AL46" i="23"/>
  <c r="AL7" i="22"/>
  <c r="AL46" i="21"/>
  <c r="AV8" i="20"/>
  <c r="AR8" i="19"/>
  <c r="AN8" i="18"/>
  <c r="AN8" i="17"/>
  <c r="AN8" i="16"/>
  <c r="AT7" i="31"/>
  <c r="AL46" i="27"/>
  <c r="AL48" i="25"/>
  <c r="AL7" i="23"/>
  <c r="AL7" i="21"/>
  <c r="AR56" i="19"/>
  <c r="AN49" i="17"/>
  <c r="AN49" i="15"/>
  <c r="AN8"/>
  <c r="AN49" i="13"/>
  <c r="AN8"/>
  <c r="AN49" i="11"/>
  <c r="AN8"/>
  <c r="J13" i="3"/>
  <c r="AT47" i="30"/>
  <c r="AL7" i="28"/>
  <c r="AL46" i="24"/>
  <c r="AL46" i="22"/>
  <c r="AV51" i="20"/>
  <c r="AR55" i="19"/>
  <c r="AN49" i="18"/>
  <c r="AN49" i="16"/>
  <c r="AN49" i="14"/>
  <c r="AN8"/>
  <c r="AN49" i="12"/>
  <c r="AN8"/>
  <c r="J6" i="28" l="1"/>
  <c r="S5"/>
  <c r="B34" i="33"/>
  <c r="K33"/>
  <c r="E70"/>
  <c r="K70" s="1"/>
  <c r="K69"/>
  <c r="E31" i="62"/>
  <c r="C31" s="1"/>
  <c r="D4" i="8" s="1"/>
  <c r="G46" i="51"/>
  <c r="J51"/>
  <c r="E5" i="55"/>
  <c r="F10"/>
  <c r="E30" i="62"/>
  <c r="C30" s="1"/>
  <c r="D14" i="47" s="1"/>
  <c r="E32" i="62"/>
  <c r="C32" s="1"/>
  <c r="AA16" i="63"/>
  <c r="N16" s="1"/>
  <c r="I21" i="45" s="1"/>
  <c r="I9" i="50"/>
  <c r="H9" i="45"/>
  <c r="I7" i="39"/>
  <c r="H14" i="34"/>
  <c r="I25" i="33"/>
  <c r="I26" i="40"/>
  <c r="I10" i="38"/>
  <c r="I10" i="37"/>
  <c r="M10" i="35"/>
  <c r="J45" i="21"/>
  <c r="S44"/>
  <c r="J45" i="23"/>
  <c r="S44"/>
  <c r="J46" i="31"/>
  <c r="S45"/>
  <c r="J45" i="27"/>
  <c r="S44"/>
  <c r="K8" i="16"/>
  <c r="S8" s="1"/>
  <c r="S7"/>
  <c r="K8" i="18"/>
  <c r="S8" s="1"/>
  <c r="S7"/>
  <c r="K7" i="21"/>
  <c r="S7" s="1"/>
  <c r="S6"/>
  <c r="K46" i="22"/>
  <c r="S46" s="1"/>
  <c r="S45"/>
  <c r="K7" i="23"/>
  <c r="S7" s="1"/>
  <c r="S6"/>
  <c r="K46" i="24"/>
  <c r="S46" s="1"/>
  <c r="S45"/>
  <c r="I10" i="50"/>
  <c r="H10" i="45"/>
  <c r="I8" i="39"/>
  <c r="H15" i="34"/>
  <c r="I26" i="33"/>
  <c r="I27" i="40"/>
  <c r="I11" i="38"/>
  <c r="I11" i="37"/>
  <c r="M11" i="35"/>
  <c r="J48" i="11"/>
  <c r="S47"/>
  <c r="J48" i="12"/>
  <c r="S47"/>
  <c r="K55" i="19"/>
  <c r="U54"/>
  <c r="J48" i="17"/>
  <c r="I47"/>
  <c r="J48" i="18"/>
  <c r="I47"/>
  <c r="J48" i="15"/>
  <c r="S47"/>
  <c r="K8" i="17"/>
  <c r="S8" s="1"/>
  <c r="S7"/>
  <c r="K8" i="19"/>
  <c r="U7"/>
  <c r="K47" i="30"/>
  <c r="S47" s="1"/>
  <c r="S46"/>
  <c r="K7" i="31"/>
  <c r="S7" s="1"/>
  <c r="S6"/>
  <c r="H31" i="33"/>
  <c r="H136" s="1"/>
  <c r="I11" i="50"/>
  <c r="H11" i="45"/>
  <c r="I9" i="39"/>
  <c r="O20" i="64"/>
  <c r="AD44" i="16"/>
  <c r="O22" i="64"/>
  <c r="AD46" i="16"/>
  <c r="G24" i="64"/>
  <c r="L23"/>
  <c r="S44" i="14"/>
  <c r="S44" i="13"/>
  <c r="S46" i="14"/>
  <c r="I47" s="1"/>
  <c r="S46" i="13"/>
  <c r="I47" s="1"/>
  <c r="J7" i="11"/>
  <c r="S6"/>
  <c r="J7" i="13"/>
  <c r="S6"/>
  <c r="J7" i="15"/>
  <c r="S6"/>
  <c r="K8" i="25"/>
  <c r="S8" s="1"/>
  <c r="J7"/>
  <c r="I6"/>
  <c r="J6" i="27"/>
  <c r="S5"/>
  <c r="K7" i="28"/>
  <c r="S7" s="1"/>
  <c r="S6"/>
  <c r="J45"/>
  <c r="S44"/>
  <c r="F270" i="48"/>
  <c r="F209"/>
  <c r="F148"/>
  <c r="F87"/>
  <c r="F24"/>
  <c r="G209"/>
  <c r="G87"/>
  <c r="G5"/>
  <c r="G2"/>
  <c r="F273"/>
  <c r="F151"/>
  <c r="F27"/>
  <c r="G273"/>
  <c r="G212"/>
  <c r="G151"/>
  <c r="G90"/>
  <c r="G27"/>
  <c r="F215"/>
  <c r="F93"/>
  <c r="G276"/>
  <c r="G215"/>
  <c r="G154"/>
  <c r="G93"/>
  <c r="G30"/>
  <c r="O19" i="64"/>
  <c r="AD43" i="16"/>
  <c r="L21" i="64"/>
  <c r="S45" i="16"/>
  <c r="F279" i="48"/>
  <c r="F157"/>
  <c r="F33"/>
  <c r="G279"/>
  <c r="G218"/>
  <c r="G157"/>
  <c r="G96"/>
  <c r="G33"/>
  <c r="AG49" i="19"/>
  <c r="F221" i="48"/>
  <c r="F99"/>
  <c r="G282"/>
  <c r="G221"/>
  <c r="G160"/>
  <c r="G99"/>
  <c r="G36"/>
  <c r="AD43" i="17"/>
  <c r="F285" i="48"/>
  <c r="F163"/>
  <c r="F39"/>
  <c r="G285"/>
  <c r="G224"/>
  <c r="G163"/>
  <c r="G102"/>
  <c r="G39"/>
  <c r="AD43" i="18"/>
  <c r="F227" i="48"/>
  <c r="F105"/>
  <c r="G288"/>
  <c r="G227"/>
  <c r="G166"/>
  <c r="G105"/>
  <c r="G42"/>
  <c r="F291"/>
  <c r="F169"/>
  <c r="F45"/>
  <c r="G291"/>
  <c r="G230"/>
  <c r="G169"/>
  <c r="G108"/>
  <c r="G45"/>
  <c r="F233"/>
  <c r="F111"/>
  <c r="G294"/>
  <c r="G233"/>
  <c r="G172"/>
  <c r="G111"/>
  <c r="G48"/>
  <c r="AD45" i="14"/>
  <c r="AD45" i="13"/>
  <c r="S43" i="14"/>
  <c r="S43" i="13"/>
  <c r="F297" i="48"/>
  <c r="F175"/>
  <c r="F51"/>
  <c r="G297"/>
  <c r="G236"/>
  <c r="G175"/>
  <c r="G114"/>
  <c r="G51"/>
  <c r="AC41" i="21"/>
  <c r="F239" i="48"/>
  <c r="F117"/>
  <c r="G300"/>
  <c r="G239"/>
  <c r="G178"/>
  <c r="G117"/>
  <c r="G54"/>
  <c r="F303"/>
  <c r="F181"/>
  <c r="F57"/>
  <c r="G303"/>
  <c r="G242"/>
  <c r="G181"/>
  <c r="G120"/>
  <c r="G57"/>
  <c r="AC41" i="23"/>
  <c r="F245" i="48"/>
  <c r="F123"/>
  <c r="G306"/>
  <c r="G245"/>
  <c r="G184"/>
  <c r="G123"/>
  <c r="G60"/>
  <c r="F309"/>
  <c r="F187"/>
  <c r="F63"/>
  <c r="G309"/>
  <c r="G248"/>
  <c r="G187"/>
  <c r="G126"/>
  <c r="G63"/>
  <c r="F251"/>
  <c r="F129"/>
  <c r="G312"/>
  <c r="G251"/>
  <c r="G190"/>
  <c r="G129"/>
  <c r="G66"/>
  <c r="F315"/>
  <c r="F193"/>
  <c r="F69"/>
  <c r="G315"/>
  <c r="G254"/>
  <c r="G193"/>
  <c r="G132"/>
  <c r="G69"/>
  <c r="AG42" i="31"/>
  <c r="F257" i="48"/>
  <c r="F135"/>
  <c r="G318"/>
  <c r="G257"/>
  <c r="G196"/>
  <c r="G135"/>
  <c r="G72"/>
  <c r="F321"/>
  <c r="F199"/>
  <c r="F75"/>
  <c r="G321"/>
  <c r="G260"/>
  <c r="G199"/>
  <c r="G138"/>
  <c r="G75"/>
  <c r="F263"/>
  <c r="F141"/>
  <c r="G324"/>
  <c r="G263"/>
  <c r="G202"/>
  <c r="G141"/>
  <c r="G78"/>
  <c r="AC41" i="28"/>
  <c r="F327" i="48"/>
  <c r="F205"/>
  <c r="F81"/>
  <c r="G327"/>
  <c r="G266"/>
  <c r="G205"/>
  <c r="G144"/>
  <c r="G81"/>
  <c r="J7" i="12"/>
  <c r="S6"/>
  <c r="J7" i="14"/>
  <c r="S6"/>
  <c r="K8" i="20"/>
  <c r="S8" s="1"/>
  <c r="J7"/>
  <c r="I6"/>
  <c r="J6" i="22"/>
  <c r="S5"/>
  <c r="J6" i="24"/>
  <c r="S5"/>
  <c r="J6" i="30"/>
  <c r="S5"/>
  <c r="E32" i="51"/>
  <c r="E29"/>
  <c r="F5" i="44"/>
  <c r="F5" i="41"/>
  <c r="D34" i="7"/>
  <c r="D37"/>
  <c r="D38" s="1"/>
  <c r="D39" s="1"/>
  <c r="AD44" i="13"/>
  <c r="AD46"/>
  <c r="S44" i="16"/>
  <c r="S46"/>
  <c r="S44" i="22"/>
  <c r="S44" i="24"/>
  <c r="I46" i="25"/>
  <c r="J47"/>
  <c r="S45" i="30"/>
  <c r="H16" i="34"/>
  <c r="M12" i="35"/>
  <c r="I12" i="37"/>
  <c r="I12" i="38"/>
  <c r="I28" i="40"/>
  <c r="I36" i="43"/>
  <c r="H36" s="1"/>
  <c r="D21" i="7"/>
  <c r="D35"/>
  <c r="AD43" i="11"/>
  <c r="AD43" i="15"/>
  <c r="S43" i="16"/>
  <c r="I49" i="20"/>
  <c r="J50"/>
  <c r="S5" i="21"/>
  <c r="AC41" i="22"/>
  <c r="S5" i="23"/>
  <c r="AC41" i="24"/>
  <c r="AC42" i="25"/>
  <c r="AD46" i="26"/>
  <c r="AG42" i="30"/>
  <c r="S5" i="31"/>
  <c r="AD46" i="32"/>
  <c r="I27" i="33"/>
  <c r="I31"/>
  <c r="I136" s="1"/>
  <c r="I38" i="43"/>
  <c r="G24" i="48"/>
  <c r="F36"/>
  <c r="F48"/>
  <c r="F60"/>
  <c r="F72"/>
  <c r="F96"/>
  <c r="F108"/>
  <c r="F120"/>
  <c r="F132"/>
  <c r="F144"/>
  <c r="G148"/>
  <c r="F160"/>
  <c r="F172"/>
  <c r="F184"/>
  <c r="F196"/>
  <c r="F218"/>
  <c r="F230"/>
  <c r="F242"/>
  <c r="F254"/>
  <c r="F266"/>
  <c r="G270"/>
  <c r="F282"/>
  <c r="F294"/>
  <c r="F306"/>
  <c r="F318"/>
  <c r="U15" i="63"/>
  <c r="M15" s="1"/>
  <c r="E19" i="45" s="1"/>
  <c r="AA13" i="63"/>
  <c r="N13" s="1"/>
  <c r="I17" i="45" s="1"/>
  <c r="AA11" i="63"/>
  <c r="N11" s="1"/>
  <c r="I15" i="45" s="1"/>
  <c r="E5" i="62"/>
  <c r="C5" s="1"/>
  <c r="D5" i="46" s="1"/>
  <c r="E3" i="62"/>
  <c r="C3" s="1"/>
  <c r="D5" i="45" s="1"/>
  <c r="J47" i="51"/>
  <c r="J45" s="1"/>
  <c r="E5" i="2" s="1"/>
  <c r="J46" i="51"/>
  <c r="E11" i="49"/>
  <c r="M270" i="48"/>
  <c r="M209"/>
  <c r="M148"/>
  <c r="M87"/>
  <c r="M24"/>
  <c r="E14"/>
  <c r="G52" i="51"/>
  <c r="G51"/>
  <c r="H46"/>
  <c r="D50" i="61"/>
  <c r="D48"/>
  <c r="J49" i="51"/>
  <c r="J50"/>
  <c r="H52"/>
  <c r="J52"/>
  <c r="D51" i="61"/>
  <c r="E29" i="62"/>
  <c r="C29" s="1"/>
  <c r="D5" i="49" s="1"/>
  <c r="U14" i="63"/>
  <c r="M14" s="1"/>
  <c r="E18" i="45" s="1"/>
  <c r="AA15" i="63"/>
  <c r="N15" s="1"/>
  <c r="I19" i="45" s="1"/>
  <c r="F2" i="54"/>
  <c r="F10"/>
  <c r="F5" i="43" l="1"/>
  <c r="F5" i="42"/>
  <c r="H38" i="43"/>
  <c r="I58"/>
  <c r="H58" s="1"/>
  <c r="J48" i="16"/>
  <c r="I47"/>
  <c r="D43" i="7"/>
  <c r="D44" s="1"/>
  <c r="D45" s="1"/>
  <c r="D40"/>
  <c r="D41"/>
  <c r="K8" i="14"/>
  <c r="S8" s="1"/>
  <c r="S7"/>
  <c r="K8" i="12"/>
  <c r="S8" s="1"/>
  <c r="S7"/>
  <c r="K8" i="15"/>
  <c r="S8" s="1"/>
  <c r="S7"/>
  <c r="K8" i="13"/>
  <c r="S8" s="1"/>
  <c r="S7"/>
  <c r="K8" i="11"/>
  <c r="S8" s="1"/>
  <c r="S7"/>
  <c r="J48" i="14"/>
  <c r="S47"/>
  <c r="H25" i="64"/>
  <c r="L25" s="1"/>
  <c r="L24"/>
  <c r="L9" i="19"/>
  <c r="U9" s="1"/>
  <c r="U8"/>
  <c r="K49" i="15"/>
  <c r="S49" s="1"/>
  <c r="S48"/>
  <c r="K49" i="18"/>
  <c r="S49" s="1"/>
  <c r="S48"/>
  <c r="K49" i="17"/>
  <c r="S49" s="1"/>
  <c r="S48"/>
  <c r="U55" i="19"/>
  <c r="L56"/>
  <c r="U56" s="1"/>
  <c r="K49" i="12"/>
  <c r="S49" s="1"/>
  <c r="S48"/>
  <c r="K49" i="11"/>
  <c r="S49" s="1"/>
  <c r="S48"/>
  <c r="D4" i="4"/>
  <c r="B5" i="1"/>
  <c r="K7" i="30"/>
  <c r="S7" s="1"/>
  <c r="S6"/>
  <c r="K7" i="24"/>
  <c r="S7" s="1"/>
  <c r="S6"/>
  <c r="K7" i="22"/>
  <c r="S7" s="1"/>
  <c r="S6"/>
  <c r="K46" i="28"/>
  <c r="S46" s="1"/>
  <c r="S45"/>
  <c r="K7" i="27"/>
  <c r="S7" s="1"/>
  <c r="S6"/>
  <c r="J48" i="13"/>
  <c r="S47"/>
  <c r="K46" i="27"/>
  <c r="S46" s="1"/>
  <c r="S45"/>
  <c r="K47" i="31"/>
  <c r="S47" s="1"/>
  <c r="S46"/>
  <c r="K46" i="23"/>
  <c r="S46" s="1"/>
  <c r="S45"/>
  <c r="K46" i="21"/>
  <c r="S46" s="1"/>
  <c r="S45"/>
  <c r="D51" i="7" l="1"/>
  <c r="D48"/>
  <c r="D49"/>
  <c r="D47"/>
  <c r="D46"/>
  <c r="K49" i="16"/>
  <c r="S49" s="1"/>
  <c r="S48"/>
  <c r="K49" i="13"/>
  <c r="S49" s="1"/>
  <c r="S48"/>
  <c r="K49" i="14"/>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<sst xmlns="http://schemas.openxmlformats.org/spreadsheetml/2006/main" count="19544" uniqueCount="4487">
  <si>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</si>
  <si>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</si>
  <si>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</si>
  <si>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</si>
  <si>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</si>
  <si>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</si>
  <si>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</si>
  <si>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</si>
  <si>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</si>
  <si>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</si>
  <si>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</si>
  <si>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</si>
  <si>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</si>
  <si>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</si>
  <si>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</si>
  <si>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</si>
  <si>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</si>
  <si>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</si>
  <si>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</si>
  <si>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</si>
  <si>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</si>
  <si>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</si>
  <si>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</si>
  <si>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</si>
  <si>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</si>
  <si>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</si>
  <si>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</si>
  <si>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</si>
  <si>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</si>
  <si>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</si>
  <si>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</si>
  <si>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</si>
  <si>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</si>
  <si>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</si>
  <si>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</si>
  <si>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</si>
  <si>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</si>
  <si>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</si>
  <si>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</si>
  <si>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</si>
  <si>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</si>
  <si>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</si>
  <si>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</si>
  <si>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</si>
  <si>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</si>
  <si>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</si>
  <si>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</si>
  <si>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</si>
  <si>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</si>
  <si>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</si>
  <si>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</si>
  <si>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</si>
  <si>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</si>
  <si>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</si>
  <si>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</si>
  <si>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</si>
  <si>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</si>
  <si>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</si>
  <si>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</si>
  <si>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</si>
  <si>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</si>
  <si>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</si>
  <si>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</si>
  <si>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</si>
  <si>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</si>
  <si>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</si>
  <si>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</si>
  <si>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</si>
  <si>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</si>
  <si>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603081, г.Н.Новгород, а/я 1</t>
  </si>
  <si>
    <t>Фамилия, имя, отчество руководителя</t>
  </si>
  <si>
    <t>Удалов Борис Вадимович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</si>
  <si>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</si>
  <si>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</si>
  <si>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</si>
  <si>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</si>
  <si>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</si>
  <si>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</si>
  <si>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</si>
  <si>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</si>
  <si>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</si>
  <si>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</si>
  <si>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</si>
  <si>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</si>
  <si>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</si>
  <si>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</si>
  <si>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</si>
  <si>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</si>
  <si>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</si>
  <si>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</si>
  <si>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</si>
  <si>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</si>
  <si>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</si>
  <si>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</si>
  <si>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</si>
  <si>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</si>
  <si>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</si>
  <si>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</si>
  <si>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</si>
  <si>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</si>
  <si>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</si>
  <si>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</si>
  <si>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</si>
  <si>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</si>
  <si>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</si>
  <si>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</si>
  <si>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</si>
  <si>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</si>
  <si>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</si>
  <si>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</si>
  <si>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</si>
  <si>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</si>
  <si>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</si>
  <si>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</si>
  <si>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</si>
  <si>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</si>
  <si>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</si>
  <si>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</si>
  <si>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</si>
  <si>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</si>
  <si>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</si>
  <si>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</si>
  <si>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</si>
  <si>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</si>
  <si>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</si>
  <si>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</si>
  <si>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</si>
  <si>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</si>
  <si>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</si>
  <si>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</si>
  <si>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</si>
  <si>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</si>
  <si>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</si>
  <si>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</si>
  <si>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</si>
  <si>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</si>
  <si>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</si>
  <si>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</si>
  <si>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</si>
  <si>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</si>
  <si>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</si>
  <si>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</si>
  <si>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</si>
  <si>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</si>
  <si>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</si>
  <si>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</si>
  <si>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</si>
  <si>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</si>
  <si>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</si>
  <si>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</si>
  <si>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</si>
  <si>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</si>
  <si>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</si>
  <si>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</si>
  <si>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</si>
  <si>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</si>
  <si>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</si>
  <si>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</si>
  <si>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</si>
  <si>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</si>
  <si>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</si>
  <si>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</si>
  <si>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</si>
  <si>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</si>
  <si>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</si>
  <si>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</si>
  <si>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</si>
  <si>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</si>
  <si>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</si>
  <si>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</si>
  <si>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</si>
  <si>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</si>
  <si>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</si>
  <si>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</si>
  <si>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</si>
  <si>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</si>
  <si>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</si>
  <si>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</si>
  <si>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</si>
  <si>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</si>
  <si>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</si>
  <si>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</si>
  <si>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</si>
  <si>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</si>
  <si>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</si>
  <si>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</si>
  <si>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</si>
  <si>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</si>
  <si>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</si>
  <si>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</si>
  <si>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</si>
  <si>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</si>
  <si>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</si>
  <si>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</si>
  <si>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</si>
  <si>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</si>
  <si>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</si>
  <si>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</si>
  <si>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</si>
  <si>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</si>
  <si>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</si>
  <si>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</si>
  <si>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</si>
  <si>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</si>
  <si>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</si>
  <si>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</si>
  <si>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</si>
  <si>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</si>
  <si>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</si>
  <si>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</si>
  <si>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</si>
  <si>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</si>
  <si>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</si>
  <si>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</si>
  <si>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</si>
  <si>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</si>
  <si>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</si>
  <si>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</si>
  <si>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</si>
  <si>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</si>
  <si>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</si>
  <si>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</si>
  <si>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</si>
  <si>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</si>
  <si>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</si>
  <si>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</si>
  <si>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</si>
  <si>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</si>
  <si>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</si>
  <si>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</si>
  <si>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</si>
  <si>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</si>
  <si>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</si>
  <si>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</si>
  <si>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</si>
  <si>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</si>
  <si>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</si>
  <si>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</si>
  <si>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</si>
  <si>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</si>
  <si>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</si>
  <si>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</si>
  <si>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</si>
  <si>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</si>
  <si>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</si>
  <si>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</si>
  <si>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</si>
  <si>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</si>
  <si>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</si>
  <si>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</si>
  <si>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</si>
  <si>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</si>
  <si>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</si>
  <si>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</si>
  <si>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</si>
  <si>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</si>
  <si>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</si>
  <si>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</si>
  <si>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</si>
  <si>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</si>
  <si>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</si>
  <si>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</si>
  <si>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</si>
  <si>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</si>
  <si>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</si>
  <si>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</si>
  <si>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</si>
  <si>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</si>
  <si>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</si>
  <si>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</si>
  <si>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</si>
  <si>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</si>
  <si>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</si>
  <si>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</si>
  <si>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</si>
  <si>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</si>
  <si>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</si>
  <si>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</si>
  <si>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</si>
  <si>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</si>
  <si>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</si>
  <si>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</si>
  <si>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</si>
  <si>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</si>
  <si>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</si>
  <si>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</si>
  <si>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</si>
  <si>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</si>
  <si>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</si>
  <si>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</si>
  <si>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</si>
  <si>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</si>
  <si>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</si>
  <si>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</si>
  <si>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</si>
  <si>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</si>
  <si>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</si>
  <si>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</si>
  <si>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</si>
  <si>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</si>
  <si>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</si>
  <si>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</si>
  <si>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</si>
  <si>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</si>
  <si>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</si>
  <si>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</si>
  <si>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</si>
  <si>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</si>
  <si>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</si>
  <si>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</si>
  <si>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</si>
  <si>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</si>
  <si>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</si>
  <si>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</si>
  <si>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</si>
  <si>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</si>
  <si>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</si>
  <si>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</si>
  <si>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</si>
  <si>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</si>
  <si>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</si>
  <si>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</si>
  <si>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</si>
  <si>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</si>
  <si>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</si>
  <si>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</si>
  <si>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</si>
  <si>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</si>
  <si>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</si>
  <si>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</si>
  <si>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</si>
  <si>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</si>
  <si>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</si>
  <si>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</si>
  <si>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</si>
  <si>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</si>
  <si>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</si>
  <si>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</si>
  <si>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</si>
  <si>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</si>
  <si>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</si>
  <si>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</si>
  <si>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</si>
  <si>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</si>
  <si>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</si>
  <si>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</si>
  <si>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</si>
  <si>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</si>
  <si>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</si>
  <si>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</si>
  <si>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</si>
  <si>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</si>
  <si>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</si>
  <si>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</si>
  <si>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</si>
  <si>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</si>
  <si>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</si>
  <si>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</si>
  <si>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</si>
  <si>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</si>
  <si>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</si>
  <si>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</si>
  <si>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</si>
  <si>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</si>
  <si>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</si>
  <si>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</si>
  <si>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</si>
  <si>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</si>
  <si>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</si>
  <si>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</si>
  <si>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</si>
  <si>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</si>
  <si>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</si>
  <si>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</si>
  <si>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</si>
  <si>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</si>
  <si>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</si>
  <si>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</si>
  <si>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</si>
  <si>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</si>
  <si>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</si>
  <si>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</si>
  <si>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</si>
  <si>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</si>
  <si>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</si>
  <si>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</si>
  <si>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</si>
  <si>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</si>
  <si>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</si>
  <si>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</si>
  <si>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</si>
  <si>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</si>
  <si>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</si>
  <si>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</si>
  <si>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</si>
  <si>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</si>
  <si>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</si>
  <si>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</si>
  <si>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</si>
  <si>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</si>
  <si>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</si>
  <si>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</si>
  <si>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</si>
  <si>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</si>
  <si>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</si>
  <si>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</si>
  <si>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</si>
  <si>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</si>
  <si>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</si>
  <si>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</si>
  <si>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</si>
  <si>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</si>
  <si>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</si>
  <si>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</si>
  <si>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</si>
  <si>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</si>
  <si>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</si>
  <si>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</si>
  <si>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</si>
  <si>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</si>
  <si>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</si>
  <si>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</si>
  <si>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</si>
  <si>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</si>
  <si>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</si>
  <si>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</si>
  <si>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</si>
  <si>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</si>
  <si>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</si>
  <si>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</si>
  <si>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</si>
  <si>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</si>
  <si>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</si>
  <si>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</si>
  <si>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</si>
  <si>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</si>
  <si>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</si>
  <si>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</si>
  <si>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</si>
  <si>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</si>
  <si>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</si>
  <si>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</si>
  <si>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</si>
  <si>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</si>
  <si>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</si>
  <si>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</si>
  <si>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</si>
  <si>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</si>
  <si>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</si>
  <si>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</si>
  <si>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</si>
  <si>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</si>
  <si>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</si>
  <si>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</si>
  <si>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</si>
  <si>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</si>
  <si>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</si>
  <si>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</si>
  <si>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</si>
  <si>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</si>
  <si>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</si>
  <si>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</si>
  <si>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</si>
  <si>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</si>
  <si>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</si>
  <si>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</si>
  <si>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</si>
  <si>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</si>
  <si>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</si>
  <si>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</si>
  <si>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</si>
  <si>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</si>
  <si>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</si>
  <si>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</si>
  <si>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</si>
  <si>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</si>
  <si>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</si>
  <si>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</si>
  <si>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</si>
  <si>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</si>
  <si>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</si>
  <si>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</si>
  <si>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</si>
  <si>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</si>
  <si>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</si>
  <si>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</si>
  <si>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</si>
  <si>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</si>
  <si>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</si>
  <si>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</si>
  <si>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</si>
  <si>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</si>
  <si>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</si>
  <si>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</si>
  <si>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</si>
  <si>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</si>
  <si>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</si>
  <si>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</si>
  <si>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</si>
  <si>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</si>
  <si>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</si>
  <si>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</si>
  <si>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</si>
  <si>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</si>
  <si>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</si>
  <si>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</si>
  <si>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</si>
  <si>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</si>
  <si>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</si>
  <si>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</si>
  <si>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</si>
  <si>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</si>
  <si>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</si>
  <si>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</si>
  <si>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</si>
  <si>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</si>
  <si>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</si>
  <si>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</si>
  <si>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</si>
  <si>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</si>
  <si>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</si>
  <si>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</si>
  <si>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</si>
  <si>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</si>
  <si>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</si>
  <si>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</si>
  <si>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</si>
  <si>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</si>
  <si>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</si>
  <si>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</si>
  <si>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</si>
  <si>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</si>
  <si>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</si>
  <si>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</si>
  <si>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</si>
  <si>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</si>
  <si>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</si>
  <si>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</si>
  <si>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</si>
  <si>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</si>
  <si>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</si>
  <si>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</si>
  <si>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</si>
  <si>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</si>
  <si>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</si>
  <si>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</si>
  <si>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</si>
  <si>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</si>
  <si>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</si>
  <si>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</si>
  <si>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</si>
  <si>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</si>
  <si>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</si>
  <si>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</si>
  <si>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</si>
  <si>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</si>
  <si>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</si>
  <si>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</si>
  <si>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</si>
  <si>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</si>
  <si>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</si>
  <si>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</si>
  <si>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</si>
  <si>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</si>
  <si>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</si>
  <si>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</si>
  <si>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</si>
  <si>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</si>
  <si>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</si>
  <si>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</si>
  <si>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</si>
  <si>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</si>
  <si>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</si>
  <si>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</si>
  <si>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</si>
  <si>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</si>
  <si>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</si>
  <si>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</si>
  <si>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</si>
  <si>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</si>
  <si>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</si>
  <si>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</si>
  <si>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</si>
  <si>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</si>
  <si>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</si>
  <si>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</si>
  <si>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</si>
  <si>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</si>
  <si>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</si>
  <si>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</si>
  <si>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</si>
  <si>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</si>
  <si>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</si>
  <si>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</si>
  <si>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</si>
  <si>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</si>
  <si>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</si>
  <si>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</si>
  <si>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</si>
  <si>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</si>
  <si>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</si>
  <si>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</si>
  <si>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</si>
  <si>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</si>
  <si>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</si>
  <si>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</si>
  <si>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</si>
  <si>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</si>
  <si>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</si>
  <si>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</si>
  <si>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</si>
  <si>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</si>
  <si>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</si>
  <si>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</si>
  <si>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</si>
  <si>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</si>
  <si>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</si>
  <si>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</si>
  <si>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</si>
  <si>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</si>
  <si>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</si>
  <si>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</si>
  <si>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</si>
  <si>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</si>
  <si>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</si>
  <si>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</si>
  <si>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</si>
  <si>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</si>
  <si>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</si>
  <si>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</si>
  <si>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</si>
  <si>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</si>
  <si>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</si>
  <si>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</si>
  <si>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</si>
  <si>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</si>
  <si>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</si>
  <si>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</si>
  <si>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</si>
  <si>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</si>
  <si>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</si>
  <si>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</si>
  <si>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</si>
  <si>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</si>
  <si>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</si>
  <si>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</si>
  <si>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</si>
  <si>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</si>
  <si>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</si>
  <si>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</si>
  <si>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</si>
  <si>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</si>
  <si>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</si>
  <si>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</si>
  <si>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</si>
  <si>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</si>
  <si>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</si>
  <si>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</si>
  <si>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</si>
  <si>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</si>
  <si>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</si>
  <si>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</si>
  <si>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</si>
  <si>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</si>
  <si>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</si>
  <si>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</si>
  <si>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</si>
  <si>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</si>
  <si>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</si>
  <si>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</si>
  <si>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</si>
  <si>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</si>
  <si>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</si>
  <si>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</si>
  <si>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</si>
  <si>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</si>
  <si>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</si>
  <si>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</si>
  <si>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</si>
  <si>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</si>
  <si>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</si>
  <si>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</si>
  <si>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</si>
  <si>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</si>
  <si>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</si>
  <si>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</si>
  <si>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</si>
  <si>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</si>
  <si>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</si>
  <si>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</si>
  <si>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</si>
  <si>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</si>
  <si>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</si>
  <si>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</si>
  <si>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</si>
  <si>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</si>
  <si>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</si>
  <si>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</si>
  <si>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</si>
  <si>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</si>
  <si>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</si>
  <si>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</si>
  <si>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</si>
  <si>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</si>
  <si>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</si>
  <si>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</si>
  <si>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</si>
  <si>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</si>
  <si>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</si>
  <si>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</si>
  <si>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</si>
  <si>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</si>
  <si>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</si>
  <si>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</si>
  <si>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</si>
  <si>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</si>
  <si>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</si>
  <si>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</si>
  <si>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</si>
  <si>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</si>
  <si>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</si>
  <si>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</si>
  <si>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</si>
  <si>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</si>
  <si>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</si>
  <si>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</si>
  <si>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</si>
  <si>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</si>
  <si>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</si>
  <si>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</si>
  <si>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</si>
  <si>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</si>
  <si>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</si>
  <si>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</si>
  <si>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</si>
  <si>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</si>
  <si>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</si>
  <si>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</si>
  <si>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</si>
  <si>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</si>
  <si>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</si>
  <si>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</si>
  <si>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</si>
  <si>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</si>
  <si>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</si>
  <si>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</si>
  <si>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</si>
  <si>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</si>
  <si>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</si>
  <si>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</si>
  <si>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</si>
  <si>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</si>
  <si>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</si>
  <si>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</si>
  <si>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</si>
  <si>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</si>
  <si>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</si>
  <si>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</si>
  <si>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</si>
  <si>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</si>
  <si>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</si>
  <si>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</si>
  <si>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</si>
  <si>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</si>
  <si>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</si>
  <si>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</si>
  <si>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</si>
  <si>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</si>
  <si>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</si>
  <si>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</si>
  <si>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</si>
  <si>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</si>
  <si>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</si>
  <si>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</si>
  <si>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</si>
  <si>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</si>
  <si>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</si>
  <si>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</si>
  <si>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</si>
  <si>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</si>
  <si>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</si>
  <si>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</si>
  <si>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</si>
  <si>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</si>
  <si>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</si>
  <si>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</si>
  <si>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</si>
  <si>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</si>
  <si>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</si>
  <si>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</si>
  <si>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</si>
  <si>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</si>
  <si>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</si>
  <si>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</si>
  <si>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</si>
  <si>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</si>
  <si>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</si>
  <si>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</si>
  <si>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</si>
  <si>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</si>
  <si>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</si>
  <si>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</si>
  <si>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</si>
  <si>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</si>
  <si>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</si>
  <si>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</si>
  <si>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</si>
  <si>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</si>
  <si>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</si>
  <si>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</si>
  <si>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</si>
  <si>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</si>
  <si>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</si>
  <si>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</si>
  <si>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</si>
  <si>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</si>
  <si>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</si>
  <si>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</si>
  <si>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</si>
  <si>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</si>
  <si>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</si>
  <si>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</si>
  <si>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</si>
  <si>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</si>
  <si>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</si>
  <si>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</si>
  <si>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</si>
  <si>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</si>
  <si>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</si>
  <si>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</si>
  <si>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</si>
  <si>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</si>
  <si>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</si>
  <si>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</si>
  <si>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</si>
  <si>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</si>
  <si>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</si>
  <si>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</si>
  <si>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</si>
  <si>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</si>
  <si>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</si>
  <si>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</si>
  <si>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</si>
  <si>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</si>
  <si>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</si>
  <si>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</si>
  <si>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</si>
  <si>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</si>
  <si>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</si>
  <si>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</si>
  <si>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</si>
  <si>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</si>
  <si>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</si>
  <si>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</si>
  <si>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</si>
  <si>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</si>
  <si>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</si>
  <si>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</si>
  <si>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</si>
  <si>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</si>
  <si>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</si>
  <si>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</si>
  <si>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</si>
  <si>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</si>
  <si>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</si>
  <si>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</si>
  <si>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</si>
  <si>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</si>
  <si>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</si>
  <si>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</si>
  <si>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</si>
  <si>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</si>
  <si>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</si>
  <si>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</si>
  <si>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</si>
  <si>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</si>
  <si>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</si>
  <si>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</si>
  <si>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</si>
  <si>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</si>
  <si>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</si>
  <si>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</si>
  <si>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</si>
  <si>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</si>
  <si>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</si>
  <si>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</si>
  <si>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</si>
  <si>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</si>
  <si>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</si>
  <si>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</si>
  <si>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</si>
  <si>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</si>
  <si>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</si>
  <si>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</si>
  <si>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</si>
  <si>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</si>
  <si>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</si>
  <si>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</si>
  <si>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</si>
  <si>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</si>
  <si>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</si>
  <si>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</si>
  <si>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</si>
  <si>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</si>
  <si>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</si>
  <si>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</si>
  <si>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</si>
  <si>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</si>
  <si>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</si>
  <si>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</si>
  <si>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</si>
  <si>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</si>
  <si>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</si>
  <si>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</si>
  <si>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</si>
  <si>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</si>
  <si>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</si>
  <si>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</si>
  <si>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</si>
  <si>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</si>
  <si>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</si>
  <si>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</si>
  <si>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</si>
  <si>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</si>
  <si>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</si>
  <si>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</si>
  <si>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</si>
  <si>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</si>
  <si>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</si>
  <si>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</si>
  <si>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</si>
  <si>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</si>
  <si>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</si>
  <si>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</si>
  <si>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</si>
  <si>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</si>
  <si>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</si>
  <si>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</si>
  <si>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</si>
  <si>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</si>
  <si>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</si>
  <si>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</si>
  <si>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</si>
  <si>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</si>
  <si>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</si>
  <si>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</si>
  <si>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</si>
  <si>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</si>
  <si>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</si>
  <si>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</si>
  <si>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</si>
  <si>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</si>
  <si>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</si>
  <si>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</si>
  <si>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</si>
  <si>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</si>
  <si>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</si>
  <si>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</si>
  <si>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</si>
  <si>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</si>
  <si>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</si>
  <si>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</si>
  <si>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</si>
  <si>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</si>
  <si>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</si>
  <si>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</si>
  <si>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</si>
  <si>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</si>
  <si>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</si>
  <si>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</si>
  <si>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</si>
  <si>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</si>
  <si>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</si>
  <si>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</si>
  <si>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</si>
  <si>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</si>
  <si>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</si>
  <si>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</si>
  <si>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</si>
  <si>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</si>
  <si>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</si>
  <si>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</si>
  <si>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</si>
  <si>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</si>
  <si>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</si>
  <si>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</si>
  <si>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</si>
  <si>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</si>
  <si>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</si>
  <si>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</si>
  <si>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</si>
  <si>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</si>
  <si>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</si>
  <si>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</si>
  <si>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</si>
  <si>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</si>
  <si>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</si>
  <si>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</si>
  <si>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</si>
  <si>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</si>
  <si>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</si>
  <si>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</si>
  <si>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</si>
  <si>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</si>
  <si>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</si>
  <si>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</si>
  <si>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</si>
  <si>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</si>
  <si>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</si>
  <si>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</si>
  <si>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</si>
  <si>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</si>
  <si>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</si>
  <si>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</si>
  <si>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</si>
  <si>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</si>
  <si>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</si>
  <si>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</si>
  <si>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</si>
  <si>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</si>
  <si>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</si>
  <si>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</si>
  <si>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</si>
  <si>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</si>
  <si>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</si>
  <si>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</si>
  <si>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</si>
  <si>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</si>
  <si>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</si>
  <si>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</si>
  <si>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</si>
  <si>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</si>
  <si>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</si>
  <si>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</si>
  <si>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</si>
  <si>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</si>
  <si>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</si>
  <si>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</si>
  <si>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</si>
  <si>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</si>
  <si>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</si>
  <si>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</si>
  <si>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</si>
  <si>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</si>
  <si>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</si>
  <si>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</si>
  <si>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</si>
  <si>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</si>
  <si>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</si>
  <si>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</si>
  <si>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</si>
  <si>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</si>
  <si>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</si>
  <si>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</si>
  <si>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</si>
  <si>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</si>
  <si>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</si>
  <si>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</si>
  <si>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</si>
  <si>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</si>
  <si>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</si>
  <si>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</si>
  <si>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</si>
  <si>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</si>
  <si>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</si>
  <si>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</si>
  <si>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</si>
  <si>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</si>
  <si>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</si>
  <si>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</si>
  <si>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</si>
  <si>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</si>
  <si>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</si>
  <si>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</si>
  <si>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</si>
  <si>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</si>
  <si>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</si>
  <si>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</si>
  <si>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</si>
  <si>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</si>
  <si>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</si>
  <si>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</si>
  <si>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</si>
  <si>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</si>
  <si>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</si>
  <si>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</si>
  <si>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</si>
  <si>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</si>
  <si>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</si>
  <si>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</si>
  <si>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</si>
  <si>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</si>
  <si>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</si>
  <si>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</si>
  <si>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</si>
  <si>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</si>
  <si>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</si>
  <si>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</si>
  <si>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</si>
  <si>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</si>
  <si>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</si>
  <si>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</si>
  <si>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</si>
  <si>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</si>
  <si>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</si>
  <si>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</si>
  <si>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</si>
  <si>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</si>
  <si>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</si>
  <si>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</si>
  <si>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</si>
  <si>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</si>
  <si>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</si>
  <si>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</si>
  <si>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</si>
  <si>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</si>
  <si>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</si>
  <si>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</si>
  <si>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</si>
  <si>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</si>
  <si>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</si>
  <si>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</si>
  <si>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</si>
  <si>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</si>
  <si>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</si>
  <si>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</si>
  <si>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</si>
  <si>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</si>
  <si>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</si>
  <si>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</si>
  <si>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</si>
  <si>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</si>
  <si>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</si>
  <si>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</si>
  <si>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</si>
  <si>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</si>
  <si>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</si>
  <si>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</si>
  <si>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</si>
  <si>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</si>
  <si>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</si>
  <si>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</si>
  <si>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</si>
  <si>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</si>
  <si>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</si>
  <si>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</si>
  <si>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</si>
  <si>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</si>
  <si>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</si>
  <si>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</si>
  <si>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</si>
  <si>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</si>
  <si>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</si>
  <si>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</si>
  <si>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</si>
  <si>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</si>
  <si>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</si>
  <si>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</si>
  <si>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</si>
  <si>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</si>
  <si>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</si>
  <si>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</si>
  <si>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</si>
  <si>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</si>
  <si>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</si>
  <si>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</si>
  <si>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</si>
  <si>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</si>
  <si>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</si>
  <si>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</si>
  <si>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</si>
  <si>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</si>
  <si>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</si>
  <si>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</si>
  <si>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</si>
  <si>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</si>
  <si>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</si>
  <si>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</si>
  <si>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</si>
  <si>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</si>
  <si>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</si>
  <si>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</si>
  <si>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</si>
  <si>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</si>
  <si>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</si>
  <si>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</si>
  <si>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</si>
  <si>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</si>
  <si>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</si>
  <si>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</si>
  <si>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</si>
  <si>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</si>
  <si>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</si>
  <si>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</si>
  <si>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</si>
  <si>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</si>
  <si>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</si>
  <si>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</si>
  <si>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</si>
  <si>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</si>
  <si>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</si>
  <si>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</si>
  <si>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</si>
  <si>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</si>
  <si>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</si>
  <si>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</si>
  <si>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</si>
  <si>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</si>
  <si>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</si>
  <si>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</si>
  <si>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</si>
  <si>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</si>
  <si>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</si>
  <si>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</si>
  <si>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</si>
  <si>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</si>
  <si>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</si>
  <si>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</si>
  <si>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</si>
  <si>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</si>
  <si>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</si>
  <si>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</si>
  <si>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</si>
  <si>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</si>
  <si>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</si>
  <si>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</si>
  <si>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</si>
  <si>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</si>
  <si>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</si>
  <si>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</si>
  <si>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</si>
  <si>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</si>
  <si>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</si>
  <si>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</si>
  <si>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</si>
  <si>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</si>
  <si>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</si>
  <si>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</si>
  <si>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</si>
  <si>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</si>
  <si>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</si>
  <si>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</si>
  <si>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</si>
  <si>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</si>
  <si>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</si>
  <si>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</si>
  <si>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</si>
  <si>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</si>
  <si>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</si>
  <si>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</si>
  <si>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</si>
  <si>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</si>
  <si>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</si>
  <si>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</si>
  <si>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</si>
  <si>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</si>
  <si>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</si>
  <si>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</si>
  <si>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</si>
  <si>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</si>
  <si>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</si>
  <si>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</si>
  <si>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</si>
  <si>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</si>
  <si>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</si>
  <si>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</si>
  <si>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</si>
  <si>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</si>
  <si>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</si>
  <si>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</si>
  <si>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</si>
  <si>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</si>
  <si>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</si>
  <si>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</si>
  <si>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</si>
  <si>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</si>
  <si>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</si>
  <si>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</si>
  <si>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</si>
  <si>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</si>
  <si>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</si>
  <si>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</si>
  <si>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</si>
  <si>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</si>
  <si>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</si>
  <si>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</si>
  <si>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</si>
  <si>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</si>
  <si>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</si>
  <si>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</si>
  <si>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</si>
  <si>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</si>
  <si>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</si>
  <si>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</si>
  <si>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</si>
  <si>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</si>
  <si>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</si>
  <si>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</si>
  <si>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</si>
  <si>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</si>
  <si>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</si>
  <si>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</si>
  <si>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</si>
  <si>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</si>
  <si>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</si>
  <si>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</si>
  <si>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</si>
  <si>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</si>
  <si>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</si>
  <si>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</si>
  <si>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</si>
  <si>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</si>
  <si>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</si>
  <si>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</si>
  <si>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</si>
  <si>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</si>
  <si>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</si>
  <si>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</si>
  <si>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</si>
  <si>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</si>
  <si>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</si>
  <si>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</si>
  <si>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</si>
  <si>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</si>
  <si>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</si>
  <si>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</si>
  <si>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</si>
  <si>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</si>
  <si>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</si>
  <si>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</si>
  <si>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</si>
  <si>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</si>
  <si>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</si>
  <si>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</si>
  <si>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</si>
  <si>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</si>
  <si>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</si>
  <si>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</si>
  <si>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</si>
  <si>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</si>
  <si>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</si>
  <si>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</si>
  <si>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</si>
  <si>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</si>
  <si>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</si>
  <si>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</si>
  <si>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</si>
  <si>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</si>
  <si>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</si>
  <si>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</si>
  <si>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</si>
  <si>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</si>
  <si>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</si>
  <si>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</si>
  <si>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</si>
  <si>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</si>
  <si>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</si>
  <si>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</si>
  <si>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</si>
  <si>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</si>
  <si>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</si>
  <si>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</si>
  <si>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</si>
  <si>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</si>
  <si>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</si>
  <si>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</si>
  <si>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</si>
  <si>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</si>
  <si>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</si>
  <si>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</si>
  <si>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</si>
  <si>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</si>
  <si>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</si>
  <si>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</si>
  <si>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</si>
  <si>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</si>
  <si>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</si>
  <si>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</si>
  <si>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</si>
  <si>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</si>
  <si>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</si>
  <si>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</si>
  <si>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</si>
  <si>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</si>
  <si>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</si>
  <si>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</si>
  <si>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</si>
  <si>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</si>
  <si>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</si>
  <si>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</si>
  <si>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</si>
  <si>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</si>
  <si>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</si>
  <si>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</si>
  <si>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</si>
  <si>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</si>
  <si>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</si>
  <si>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</si>
  <si>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</si>
  <si>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</si>
  <si>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</si>
  <si>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</si>
  <si>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</si>
  <si>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</si>
  <si>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</si>
  <si>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</si>
  <si>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</si>
  <si>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</si>
  <si>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</si>
  <si>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</si>
  <si>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</si>
  <si>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</si>
  <si>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</si>
  <si>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</si>
  <si>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</si>
  <si>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</si>
  <si>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</si>
  <si>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</si>
  <si>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</si>
  <si>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</si>
  <si>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</si>
  <si>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</si>
  <si>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</si>
  <si>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</si>
  <si>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</si>
  <si>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</si>
  <si>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</si>
  <si>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</si>
  <si>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</si>
  <si>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</si>
  <si>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</si>
  <si>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</si>
  <si>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</si>
  <si>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</si>
  <si>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</si>
  <si>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</si>
  <si>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</si>
  <si>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</si>
  <si>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</si>
  <si>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</si>
  <si>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</si>
  <si>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</si>
  <si>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</si>
  <si>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</si>
  <si>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</si>
  <si>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</si>
  <si>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</si>
  <si>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</si>
  <si>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</si>
  <si>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</si>
  <si>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</si>
  <si>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</si>
  <si>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</si>
  <si>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</si>
  <si>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</si>
  <si>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</si>
  <si>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</si>
  <si>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</si>
  <si>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</si>
  <si>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</si>
  <si>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</si>
  <si>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</si>
  <si>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</si>
  <si>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</si>
  <si>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</si>
  <si>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</si>
  <si>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</si>
  <si>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</si>
  <si>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</si>
  <si>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</si>
  <si>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</si>
  <si>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</si>
  <si>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</si>
  <si>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</si>
  <si>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</si>
  <si>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</si>
  <si>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</si>
  <si>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</si>
  <si>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</si>
  <si>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</si>
  <si>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</si>
  <si>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</si>
  <si>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</si>
  <si>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</si>
  <si>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</si>
  <si>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</si>
  <si>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</si>
  <si>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</si>
  <si>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</si>
  <si>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</si>
  <si>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</si>
  <si>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</si>
  <si>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</si>
  <si>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</si>
  <si>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</si>
  <si>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</si>
  <si>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</si>
  <si>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</si>
  <si>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</si>
  <si>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</si>
  <si>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</si>
  <si>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</si>
  <si>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</si>
  <si>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</si>
  <si>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</si>
  <si>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</si>
  <si>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</si>
  <si>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</si>
  <si>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</si>
  <si>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</si>
  <si>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</si>
  <si>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</si>
  <si>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</si>
  <si>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</si>
  <si>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</si>
  <si>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</si>
  <si>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</si>
  <si>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</si>
  <si>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</si>
  <si>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</si>
  <si>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</si>
  <si>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</si>
  <si>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</si>
  <si>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</si>
  <si>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</si>
  <si>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</si>
  <si>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</si>
  <si>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</si>
  <si>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</si>
  <si>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</si>
  <si>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</si>
  <si>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</si>
  <si>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</si>
  <si>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</si>
  <si>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</si>
  <si>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</si>
  <si>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</si>
  <si>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</si>
  <si>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</si>
  <si>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</si>
  <si>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</si>
  <si>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</si>
  <si>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</si>
  <si>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</si>
  <si>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</si>
  <si>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</si>
  <si>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</si>
  <si>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</si>
  <si>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</si>
  <si>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</si>
  <si>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</si>
  <si>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</si>
  <si>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</si>
  <si>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</si>
  <si>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</si>
  <si>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</si>
  <si>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</si>
  <si>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</si>
  <si>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</si>
  <si>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</si>
  <si>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</si>
  <si>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</si>
  <si>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</si>
  <si>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</si>
  <si>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</si>
  <si>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</si>
  <si>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</si>
  <si>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</si>
  <si>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</si>
  <si>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</si>
  <si>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</si>
  <si>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</si>
  <si>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</si>
  <si>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</si>
  <si>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</si>
  <si>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</si>
  <si>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</si>
  <si>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</si>
  <si>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</si>
  <si>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</si>
  <si>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</si>
  <si>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</si>
  <si>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</si>
  <si>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</si>
  <si>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</si>
  <si>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</si>
  <si>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</si>
  <si>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</si>
  <si>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</si>
  <si>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</si>
  <si>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</si>
  <si>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</si>
  <si>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</si>
  <si>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</si>
  <si>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</si>
  <si>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</si>
  <si>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</si>
  <si>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</si>
  <si>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</si>
  <si>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</si>
  <si>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</si>
  <si>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</si>
  <si>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</si>
  <si>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</si>
  <si>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</si>
  <si>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</si>
  <si>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</si>
  <si>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</si>
  <si>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</si>
  <si>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</si>
  <si>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</si>
  <si>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</si>
  <si>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</si>
  <si>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</si>
  <si>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</si>
  <si>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</si>
  <si>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</si>
  <si>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</si>
  <si>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</si>
  <si>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</si>
  <si>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</si>
  <si>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</si>
  <si>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</si>
  <si>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</si>
  <si>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</si>
  <si>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</si>
  <si>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</si>
  <si>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</si>
  <si>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</si>
  <si>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</si>
  <si>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</si>
  <si>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</si>
  <si>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</si>
  <si>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</si>
  <si>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</si>
  <si>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</si>
  <si>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</si>
  <si>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</si>
  <si>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</si>
  <si>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</si>
  <si>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</si>
  <si>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</si>
  <si>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</si>
  <si>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</si>
  <si>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</si>
  <si>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</si>
  <si>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</si>
  <si>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</si>
  <si>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</si>
  <si>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</si>
  <si>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</si>
  <si>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</si>
  <si>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</si>
  <si>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</si>
  <si>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</si>
  <si>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</si>
  <si>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</si>
  <si>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</si>
  <si>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</si>
  <si>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</si>
  <si>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</si>
  <si>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</si>
  <si>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</si>
  <si>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</si>
  <si>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</si>
  <si>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</si>
  <si>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</si>
  <si>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</si>
  <si>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</si>
  <si>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</si>
  <si>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</si>
  <si>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</si>
  <si>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</si>
  <si>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</si>
  <si>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</si>
  <si>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</si>
  <si>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</si>
  <si>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</si>
  <si>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</si>
  <si>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</si>
  <si>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</si>
  <si>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</si>
  <si>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</si>
  <si>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</si>
  <si>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</si>
  <si>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</si>
  <si>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</si>
  <si>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</si>
  <si>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</si>
  <si>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</si>
  <si>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</si>
  <si>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</si>
  <si>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</si>
  <si>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</si>
  <si>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</si>
  <si>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</si>
  <si>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</si>
  <si>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</si>
  <si>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</si>
  <si>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</si>
  <si>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</si>
  <si>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</si>
  <si>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</si>
  <si>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</si>
  <si>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</si>
  <si>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</si>
  <si>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</si>
  <si>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</si>
  <si>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</si>
  <si>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</si>
  <si>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</si>
  <si>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</si>
  <si>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</si>
  <si>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</si>
  <si>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</si>
  <si>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</si>
  <si>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</si>
  <si>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</si>
  <si>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</si>
  <si>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</si>
  <si>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</si>
  <si>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</si>
  <si>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</si>
  <si>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</si>
  <si>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</si>
  <si>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</si>
  <si>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</si>
  <si>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</si>
  <si>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</si>
  <si>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</si>
  <si>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</si>
  <si>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</si>
  <si>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</si>
  <si>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</si>
  <si>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</si>
  <si>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</si>
  <si>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</si>
  <si>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</si>
  <si>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</si>
  <si>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</si>
  <si>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</si>
  <si>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</si>
  <si>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</si>
  <si>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</si>
  <si>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</si>
  <si>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</si>
  <si>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</si>
  <si>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</si>
  <si>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</si>
  <si>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</si>
  <si>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</si>
  <si>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</si>
  <si>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</si>
  <si>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</si>
  <si>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</si>
  <si>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</si>
  <si>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</si>
  <si>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</si>
  <si>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</si>
  <si>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</si>
  <si>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</si>
  <si>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</si>
  <si>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</si>
  <si>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</si>
  <si>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</si>
  <si>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</si>
  <si>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</si>
  <si>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</si>
  <si>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</si>
  <si>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</si>
  <si>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</si>
  <si>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</si>
  <si>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</si>
  <si>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</si>
  <si>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</si>
  <si>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</si>
  <si>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</si>
  <si>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</si>
  <si>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</si>
  <si>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</si>
  <si>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</si>
  <si>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</si>
  <si>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</si>
  <si>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</si>
  <si>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</si>
  <si>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</si>
  <si>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</si>
  <si>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</si>
  <si>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</si>
  <si>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</si>
  <si>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</si>
  <si>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</si>
  <si>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</si>
  <si>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</si>
  <si>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</si>
  <si>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</si>
  <si>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</si>
  <si>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</si>
  <si>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</si>
  <si>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</si>
  <si>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</si>
  <si>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</si>
  <si>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</si>
  <si>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</si>
  <si>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</si>
  <si>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</si>
  <si>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</si>
  <si>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</si>
  <si>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</si>
  <si>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</si>
  <si>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</si>
  <si>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</si>
  <si>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</si>
  <si>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</si>
  <si>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</si>
  <si>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</si>
  <si>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</si>
  <si>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</si>
  <si>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</si>
  <si>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</si>
  <si>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</si>
  <si>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</si>
  <si>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</si>
  <si>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</si>
  <si>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</si>
  <si>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</si>
  <si>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</si>
  <si>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</si>
  <si>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</si>
  <si>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</si>
  <si>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</si>
  <si>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</si>
  <si>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</si>
  <si>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</si>
  <si>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</si>
  <si>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</si>
  <si>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</si>
  <si>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</si>
  <si>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</si>
  <si>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</si>
  <si>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</si>
  <si>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</si>
  <si>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</si>
  <si>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</si>
  <si>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</si>
  <si>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</si>
  <si>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</si>
  <si>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</si>
  <si>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</si>
  <si>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</si>
  <si>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</si>
  <si>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</si>
  <si>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</si>
  <si>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</si>
  <si>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</si>
  <si>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</si>
  <si>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</si>
  <si>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</si>
  <si>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</si>
  <si>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</si>
  <si>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</si>
  <si>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</si>
  <si>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</si>
  <si>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</si>
  <si>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</si>
  <si>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</si>
  <si>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</si>
  <si>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</si>
  <si>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</si>
  <si>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</si>
  <si>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</si>
  <si>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</si>
  <si>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</si>
  <si>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</si>
  <si>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</si>
  <si>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</si>
  <si>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</si>
  <si>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</si>
  <si>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</si>
  <si>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</si>
  <si>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</si>
  <si>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</si>
  <si>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</si>
  <si>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</si>
  <si>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</si>
  <si>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</si>
  <si>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</si>
  <si>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</si>
  <si>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</si>
  <si>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</si>
  <si>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</si>
  <si>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</si>
  <si>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</si>
  <si>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</si>
  <si>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</si>
  <si>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</si>
  <si>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</si>
  <si>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</si>
  <si>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</si>
  <si>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</si>
  <si>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</si>
  <si>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</si>
  <si>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</si>
  <si>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</si>
  <si>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</si>
  <si>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</si>
  <si>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</si>
  <si>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</si>
  <si>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</si>
  <si>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</si>
  <si>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</si>
  <si>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</si>
  <si>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</si>
  <si>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</si>
  <si>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</si>
  <si>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</si>
  <si>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</si>
  <si>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</si>
  <si>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</si>
  <si>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</si>
  <si>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</si>
  <si>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</si>
  <si>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</si>
  <si>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</si>
  <si>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</si>
  <si>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</si>
  <si>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</si>
  <si>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</si>
  <si>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</si>
  <si>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</si>
  <si>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</si>
  <si>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</si>
  <si>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</si>
  <si>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</si>
  <si>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</si>
  <si>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</si>
  <si>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</si>
  <si>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</si>
  <si>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</si>
  <si>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</si>
  <si>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</si>
  <si>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</si>
  <si>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</si>
  <si>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</si>
  <si>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</si>
  <si>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</si>
  <si>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</si>
  <si>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</si>
  <si>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</si>
  <si>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</si>
  <si>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</si>
  <si>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</si>
  <si>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</si>
  <si>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</si>
  <si>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</si>
  <si>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</si>
  <si>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</si>
  <si>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</si>
  <si>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</si>
  <si>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</si>
  <si>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</si>
  <si>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</si>
  <si>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</si>
  <si>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</si>
  <si>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</si>
  <si>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</si>
  <si>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</si>
  <si>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</si>
  <si>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</si>
  <si>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</si>
  <si>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</si>
  <si>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</si>
  <si>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</si>
  <si>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</si>
  <si>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</si>
  <si>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</si>
  <si>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</si>
  <si>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</si>
  <si>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</si>
  <si>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</si>
  <si>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</si>
  <si>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</si>
  <si>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</si>
  <si>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</si>
  <si>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</si>
  <si>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</si>
  <si>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</si>
  <si>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</si>
  <si>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</si>
  <si>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</si>
  <si>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</si>
  <si>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</si>
  <si>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</si>
  <si>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</si>
  <si>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</si>
  <si>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</si>
  <si>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</si>
  <si>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</si>
  <si>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</si>
  <si>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</si>
  <si>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</si>
  <si>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</si>
  <si>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</si>
  <si>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</si>
  <si>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</si>
  <si>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</si>
  <si>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</si>
  <si>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</si>
  <si>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</si>
  <si>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</si>
  <si>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</si>
  <si>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</si>
  <si>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</si>
  <si>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</si>
  <si>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</si>
  <si>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</si>
  <si>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</si>
  <si>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</si>
  <si>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</si>
  <si>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</si>
  <si>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</si>
  <si>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</si>
  <si>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</si>
  <si>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</si>
  <si>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</si>
  <si>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</si>
  <si>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</si>
  <si>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</si>
  <si>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</si>
  <si>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</si>
  <si>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</si>
  <si>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</si>
  <si>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</si>
  <si>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</si>
  <si>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</si>
  <si>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</si>
  <si>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</si>
  <si>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</si>
  <si>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</si>
  <si>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</si>
  <si>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</si>
  <si>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</si>
  <si>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</si>
  <si>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</si>
  <si>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</si>
  <si>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</si>
  <si>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</si>
  <si>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</si>
  <si>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</si>
  <si>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</si>
  <si>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</si>
  <si>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</si>
  <si>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</si>
  <si>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</si>
  <si>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</si>
  <si>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</si>
  <si>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</si>
  <si>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</si>
  <si>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</si>
  <si>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</si>
  <si>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</si>
  <si>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</si>
  <si>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</si>
  <si>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</si>
  <si>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</si>
  <si>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</si>
  <si>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</si>
  <si>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</si>
  <si>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</si>
  <si>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</si>
  <si>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</si>
  <si>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</si>
  <si>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</si>
  <si>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</si>
  <si>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</si>
  <si>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</si>
  <si>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</si>
  <si>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</si>
  <si>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</si>
  <si>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</si>
  <si>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</si>
  <si>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</si>
  <si>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</si>
  <si>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</si>
  <si>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</si>
  <si>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</si>
  <si>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</si>
  <si>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</si>
  <si>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</si>
  <si>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</si>
  <si>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</si>
  <si>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</si>
  <si>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</si>
  <si>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</si>
  <si>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</si>
  <si>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</si>
  <si>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</si>
  <si>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</si>
  <si>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</si>
  <si>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</si>
  <si>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</si>
  <si>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</si>
  <si>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</si>
  <si>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</si>
  <si>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</si>
  <si>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</si>
  <si>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</si>
  <si>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</si>
  <si>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</si>
  <si>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</si>
  <si>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</si>
  <si>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</si>
  <si>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</si>
  <si>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</si>
  <si>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</si>
  <si>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</si>
  <si>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</si>
  <si>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</si>
  <si>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</si>
  <si>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</si>
  <si>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</si>
  <si>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</si>
  <si>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</si>
  <si>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</si>
  <si>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</si>
  <si>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</si>
  <si>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</si>
  <si>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</si>
  <si>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</si>
  <si>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</si>
  <si>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</si>
  <si>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</si>
  <si>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</si>
  <si>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</si>
  <si>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</si>
  <si>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</si>
  <si>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</si>
  <si>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</si>
  <si>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</si>
  <si>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</si>
  <si>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</si>
  <si>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</si>
  <si>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</si>
  <si>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</si>
  <si>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</si>
  <si>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</si>
  <si>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</si>
  <si>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</si>
  <si>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</si>
  <si>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</si>
  <si>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</si>
  <si>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</si>
  <si>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</si>
  <si>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</si>
  <si>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</si>
  <si>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</si>
  <si>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</si>
  <si>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</si>
  <si>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</si>
  <si>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</si>
  <si>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</si>
  <si>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</si>
  <si>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</si>
  <si>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</si>
  <si>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</si>
  <si>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</si>
  <si>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</si>
  <si>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</si>
  <si>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</si>
  <si>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</si>
  <si>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</si>
  <si>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</si>
  <si>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</si>
  <si>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</si>
  <si>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</si>
  <si>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</si>
  <si>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</si>
  <si>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</si>
  <si>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</si>
  <si>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</si>
  <si>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</si>
  <si>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</si>
  <si>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</si>
  <si>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</si>
  <si>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</si>
  <si>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</si>
  <si>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</si>
  <si>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</si>
  <si>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</si>
  <si>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</si>
  <si>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</si>
  <si>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</si>
  <si>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</si>
  <si>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</si>
  <si>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</si>
  <si>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</si>
  <si>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</si>
  <si>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</si>
  <si>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</si>
  <si>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</si>
  <si>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</si>
  <si>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</si>
  <si>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</si>
  <si>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</si>
  <si>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</si>
  <si>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</si>
  <si>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</si>
  <si>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</si>
  <si>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</si>
  <si>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</si>
  <si>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</si>
  <si>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</si>
  <si>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</si>
  <si>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</si>
  <si>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</si>
  <si>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</si>
  <si>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</si>
  <si>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</si>
  <si>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</si>
  <si>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</si>
  <si>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</si>
  <si>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</si>
  <si>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</si>
  <si>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</si>
  <si>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</si>
  <si>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</si>
  <si>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</si>
  <si>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</si>
  <si>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</si>
  <si>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</si>
  <si>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</si>
  <si>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</si>
  <si>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</si>
  <si>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</si>
  <si>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</si>
  <si>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</si>
  <si>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</si>
  <si>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</si>
  <si>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</si>
  <si>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</si>
  <si>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</si>
  <si>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</si>
  <si>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</si>
  <si>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</si>
  <si>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</si>
  <si>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</si>
  <si>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</si>
  <si>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</si>
  <si>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</si>
  <si>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</si>
  <si>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</si>
  <si>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</si>
  <si>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</si>
  <si>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</si>
  <si>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</si>
  <si>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</si>
  <si>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</si>
  <si>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</si>
  <si>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</si>
  <si>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</si>
  <si>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</si>
  <si>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</si>
  <si>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</si>
  <si>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</si>
  <si>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</si>
  <si>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</si>
  <si>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</si>
  <si>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</si>
  <si>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</si>
  <si>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</si>
  <si>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</si>
  <si>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</si>
  <si>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</si>
  <si>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</si>
  <si>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</si>
  <si>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</si>
  <si>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</si>
  <si>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</si>
  <si>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</si>
  <si>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</si>
  <si>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</si>
  <si>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</si>
  <si>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</si>
  <si>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</si>
  <si>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</si>
  <si>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</si>
  <si>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</si>
  <si>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</si>
  <si>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</si>
  <si>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</si>
  <si>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</si>
  <si>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</si>
  <si>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</si>
  <si>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</si>
  <si>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</si>
  <si>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</si>
  <si>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</si>
  <si>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</si>
  <si>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</si>
  <si>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</si>
  <si>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</si>
  <si>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</si>
  <si>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</si>
  <si>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</si>
  <si>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</si>
  <si>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</si>
  <si>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</si>
  <si>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</si>
  <si>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</si>
  <si>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</si>
  <si>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</si>
  <si>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</si>
  <si>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</si>
  <si>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</si>
  <si>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</si>
  <si>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</si>
  <si>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</si>
  <si>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</si>
  <si>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</si>
  <si>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</si>
  <si>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</si>
  <si>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</si>
  <si>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</si>
  <si>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</si>
  <si>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</si>
  <si>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</si>
  <si>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</si>
  <si>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</si>
  <si>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</si>
  <si>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</si>
  <si>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</si>
  <si>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</si>
  <si>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</si>
  <si>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</si>
  <si>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</si>
  <si>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</si>
  <si>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</si>
  <si>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</si>
  <si>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</si>
  <si>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</si>
  <si>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</si>
  <si>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</si>
  <si>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</si>
  <si>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</si>
  <si>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</si>
  <si>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</si>
  <si>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</si>
  <si>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</si>
  <si>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</si>
  <si>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</si>
  <si>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</si>
  <si>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</si>
  <si>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</si>
  <si>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</si>
  <si>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</si>
  <si>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</si>
  <si>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</si>
  <si>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</si>
  <si>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</si>
  <si>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</si>
  <si>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</si>
  <si>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</si>
  <si>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</si>
  <si>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</si>
  <si>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</si>
  <si>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</si>
  <si>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</si>
  <si>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</si>
  <si>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</si>
  <si>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</si>
  <si>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</si>
  <si>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</si>
  <si>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</si>
  <si>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</si>
  <si>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</si>
  <si>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</si>
  <si>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</si>
  <si>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</si>
  <si>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</si>
  <si>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</si>
  <si>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</si>
  <si>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</si>
  <si>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</si>
  <si>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</si>
  <si>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</si>
  <si>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</si>
  <si>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</si>
  <si>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</si>
  <si>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</si>
  <si>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</si>
  <si>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</si>
  <si>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</si>
  <si>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</si>
  <si>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</si>
  <si>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</si>
  <si>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</si>
  <si>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</si>
  <si>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</si>
  <si>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</si>
  <si>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</si>
  <si>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</si>
  <si>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</si>
  <si>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</si>
  <si>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</si>
  <si>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</si>
  <si>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</si>
  <si>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</si>
  <si>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</si>
  <si>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</si>
  <si>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</si>
  <si>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</si>
  <si>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</si>
  <si>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</si>
  <si>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</si>
  <si>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</si>
  <si>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</si>
  <si>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</si>
  <si>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</si>
  <si>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</si>
  <si>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</si>
  <si>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</si>
  <si>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</si>
  <si>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</si>
  <si>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</si>
  <si>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</si>
  <si>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</si>
  <si>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</si>
  <si>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</si>
  <si>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</si>
  <si>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</si>
  <si>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</si>
  <si>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</si>
  <si>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</si>
  <si>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</si>
  <si>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</si>
  <si>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</si>
  <si>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</si>
  <si>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</si>
  <si>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</si>
  <si>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</si>
  <si>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</si>
  <si>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</si>
  <si>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</si>
  <si>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</si>
  <si>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</si>
  <si>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</si>
  <si>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</si>
  <si>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</si>
  <si>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</si>
  <si>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</si>
  <si>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</si>
  <si>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</si>
  <si>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</si>
  <si>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</si>
  <si>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</si>
  <si>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</si>
  <si>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</si>
  <si>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</si>
  <si>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</si>
  <si>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</si>
  <si>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</si>
  <si>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</si>
  <si>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</si>
  <si>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</si>
  <si>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</si>
  <si>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</si>
  <si>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</si>
  <si>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</si>
  <si>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</si>
  <si>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</si>
  <si>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</si>
  <si>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</si>
  <si>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</si>
  <si>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</si>
  <si>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</si>
  <si>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</si>
  <si>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</si>
  <si>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</si>
  <si>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</si>
  <si>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</si>
  <si>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</si>
  <si>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</si>
  <si>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</si>
  <si>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</si>
  <si>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</si>
  <si>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</si>
  <si>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</si>
  <si>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</si>
  <si>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</si>
  <si>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</si>
  <si>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</si>
  <si>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</si>
  <si>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</si>
  <si>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</si>
  <si>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</si>
  <si>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</si>
  <si>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</si>
  <si>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</si>
  <si>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</si>
  <si>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</si>
  <si>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</si>
  <si>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</si>
  <si>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</si>
  <si>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</si>
  <si>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</si>
  <si>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</si>
  <si>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</si>
  <si>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</si>
  <si>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</si>
  <si>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</si>
  <si>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</si>
  <si>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</si>
  <si>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</si>
  <si>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</si>
  <si>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</si>
  <si>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</si>
  <si>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</si>
  <si>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</si>
  <si>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</si>
  <si>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</si>
  <si>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</si>
  <si>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</si>
  <si>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</si>
  <si>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</si>
  <si>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</si>
  <si>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</si>
  <si>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</si>
  <si>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</si>
  <si>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</si>
  <si>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</si>
  <si>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</si>
  <si>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</si>
  <si>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</si>
  <si>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</si>
  <si>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</si>
  <si>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</si>
  <si>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</si>
  <si>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</si>
  <si>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</si>
  <si>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</si>
  <si>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</si>
  <si>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</si>
  <si>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</si>
  <si>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</si>
  <si>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</si>
  <si>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</si>
  <si>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</si>
  <si>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</si>
  <si>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</si>
  <si>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</si>
  <si>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</si>
  <si>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</si>
  <si>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</si>
  <si>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</si>
  <si>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</si>
  <si>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</si>
  <si>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</si>
  <si>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</si>
  <si>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</si>
  <si>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</si>
  <si>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</si>
  <si>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</si>
  <si>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</si>
  <si>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</si>
  <si>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</si>
  <si>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</si>
  <si>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</si>
  <si>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</si>
  <si>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</si>
  <si>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</si>
  <si>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</si>
  <si>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</si>
  <si>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</si>
  <si>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</si>
  <si>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</si>
  <si>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</si>
  <si>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</si>
  <si>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</si>
  <si>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</si>
  <si>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</si>
  <si>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</si>
  <si>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</si>
  <si>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</si>
  <si>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</si>
  <si>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</si>
  <si>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</si>
  <si>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</si>
  <si>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</si>
  <si>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</si>
  <si>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</si>
  <si>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</si>
  <si>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</si>
  <si>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</si>
  <si>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</si>
  <si>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</si>
  <si>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</si>
  <si>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</si>
  <si>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</si>
  <si>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</si>
  <si>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</si>
  <si>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</si>
  <si>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</si>
  <si>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</si>
  <si>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</si>
  <si>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</si>
  <si>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</si>
  <si>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</si>
  <si>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</si>
  <si>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</si>
  <si>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</si>
  <si>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</si>
  <si>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</si>
  <si>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</si>
  <si>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</si>
  <si>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</si>
  <si>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</si>
  <si>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</si>
  <si>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</si>
  <si>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</si>
  <si>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</si>
  <si>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</si>
  <si>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</si>
  <si>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</si>
  <si>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</si>
  <si>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</si>
  <si>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</si>
  <si>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</si>
  <si>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</si>
  <si>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</si>
  <si>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</si>
  <si>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</si>
  <si>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</si>
  <si>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</si>
  <si>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</si>
  <si>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</si>
  <si>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</si>
  <si>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</si>
  <si>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</si>
  <si>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</si>
  <si>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</si>
  <si>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</si>
  <si>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</si>
  <si>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</si>
  <si>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</si>
  <si>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</si>
  <si>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</si>
  <si>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</si>
  <si>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</si>
  <si>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</si>
  <si>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</si>
  <si>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</si>
  <si>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</si>
  <si>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</si>
  <si>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</si>
  <si>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</si>
  <si>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</si>
  <si>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</si>
  <si>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</si>
  <si>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</si>
  <si>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</si>
  <si>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</si>
  <si>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</si>
  <si>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</si>
  <si>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</si>
  <si>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</si>
  <si>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</si>
  <si>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</si>
  <si>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</si>
  <si>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</si>
  <si>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</si>
  <si>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</si>
  <si>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</si>
  <si>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</si>
  <si>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</si>
  <si>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</si>
  <si>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</si>
  <si>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</si>
  <si>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</si>
  <si>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</si>
  <si>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</si>
  <si>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</si>
  <si>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</si>
  <si>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</si>
  <si>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</si>
  <si>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</si>
  <si>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</si>
  <si>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</si>
  <si>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</si>
  <si>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</si>
  <si>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</si>
  <si>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</si>
  <si>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</si>
  <si>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</si>
  <si>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</si>
  <si>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</si>
  <si>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</si>
  <si>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</si>
  <si>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</si>
  <si>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</si>
  <si>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</si>
  <si>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</si>
  <si>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</si>
  <si>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</si>
  <si>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</si>
  <si>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</si>
  <si>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</si>
  <si>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</si>
  <si>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</si>
  <si>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</si>
  <si>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</si>
  <si>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</si>
  <si>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</si>
  <si>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</si>
  <si>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</si>
  <si>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</si>
  <si>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</si>
  <si>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</si>
  <si>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</si>
  <si>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</si>
  <si>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</si>
  <si>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</si>
  <si>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</si>
  <si>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</si>
  <si>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</si>
  <si>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</si>
  <si>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</si>
  <si>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</si>
  <si>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</si>
  <si>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</si>
  <si>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</si>
  <si>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</si>
  <si>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</si>
  <si>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</si>
  <si>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</si>
  <si>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</si>
  <si>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</si>
  <si>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</si>
  <si>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</si>
  <si>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</si>
  <si>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</si>
  <si>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</si>
  <si>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</si>
  <si>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</si>
  <si>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</si>
  <si>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</si>
  <si>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</si>
  <si>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</si>
  <si>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</si>
  <si>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</si>
  <si>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</si>
  <si>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</si>
  <si>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</si>
  <si>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</si>
  <si>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</si>
  <si>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</si>
  <si>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</si>
  <si>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</si>
  <si>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</si>
  <si>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</si>
  <si>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</si>
  <si>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</si>
  <si>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</si>
  <si>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</si>
  <si>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</si>
  <si>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</si>
  <si>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</si>
  <si>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</si>
  <si>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</si>
  <si>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</si>
  <si>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</si>
  <si>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</si>
  <si>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</si>
  <si>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</si>
  <si>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</si>
  <si>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</si>
  <si>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</si>
  <si>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</si>
  <si>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</si>
  <si>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</si>
  <si>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</si>
  <si>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</si>
  <si>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</si>
  <si>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</si>
  <si>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</si>
  <si>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</si>
  <si>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</si>
  <si>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</si>
  <si>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</si>
  <si>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</si>
  <si>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</si>
  <si>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</si>
  <si>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</si>
  <si>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</si>
  <si>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</si>
  <si>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</si>
  <si>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</si>
  <si>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</si>
  <si>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</si>
  <si>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</si>
  <si>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</si>
  <si>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</si>
  <si>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</si>
  <si>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</si>
  <si>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</si>
  <si>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</si>
  <si>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</si>
  <si>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</si>
  <si>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</si>
  <si>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</si>
  <si>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</si>
  <si>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</si>
  <si>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</si>
  <si>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</si>
  <si>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</si>
  <si>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</si>
  <si>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</si>
  <si>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</si>
  <si>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</si>
  <si>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</si>
  <si>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</si>
  <si>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</si>
  <si>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</si>
  <si>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</si>
  <si>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</si>
  <si>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</si>
  <si>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</si>
  <si>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</si>
  <si>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</si>
  <si>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</si>
  <si>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</si>
  <si>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</si>
  <si>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</si>
  <si>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</si>
  <si>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</si>
  <si>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</si>
  <si>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</si>
  <si>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</si>
  <si>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</si>
  <si>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</si>
  <si>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</si>
  <si>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</si>
  <si>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</si>
  <si>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</si>
  <si>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</si>
  <si>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</si>
  <si>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</si>
  <si>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</si>
  <si>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</si>
  <si>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</si>
  <si>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</si>
  <si>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</si>
  <si>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</si>
  <si>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</si>
  <si>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</si>
  <si>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</si>
  <si>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</si>
  <si>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</si>
  <si>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</si>
  <si>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</si>
  <si>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</si>
  <si>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</si>
  <si>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</si>
  <si>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</si>
  <si>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</si>
  <si>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</si>
  <si>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</si>
  <si>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</si>
  <si>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</si>
  <si>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</si>
  <si>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</si>
  <si>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</si>
  <si>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</si>
  <si>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</si>
  <si>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</si>
  <si>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</si>
  <si>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</si>
  <si>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</si>
  <si>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</si>
  <si>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</si>
  <si>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</si>
  <si>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</si>
  <si>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</si>
  <si>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</si>
  <si>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</si>
  <si>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</si>
  <si>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</si>
  <si>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</si>
  <si>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</si>
  <si>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</si>
  <si>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</si>
  <si>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</si>
  <si>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</si>
  <si>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</si>
  <si>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</si>
  <si>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</si>
  <si>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</si>
  <si>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</si>
  <si>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</si>
  <si>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</si>
  <si>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</si>
  <si>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</si>
  <si>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</si>
  <si>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</si>
  <si>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</si>
  <si>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</si>
  <si>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</si>
  <si>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</si>
  <si>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</si>
  <si>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</si>
  <si>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</si>
  <si>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</si>
  <si>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</si>
  <si>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</si>
  <si>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</si>
  <si>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</si>
  <si>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</si>
  <si>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</si>
  <si>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</si>
  <si>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</si>
  <si>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</si>
  <si>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</si>
  <si>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</si>
  <si>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</si>
  <si>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</si>
  <si>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</si>
  <si>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</si>
  <si>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</si>
  <si>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</si>
  <si>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</si>
  <si>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</si>
  <si>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</si>
  <si>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</si>
  <si>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</si>
  <si>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</si>
  <si>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</si>
  <si>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</si>
  <si>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</si>
  <si>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</si>
  <si>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</si>
  <si>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</si>
  <si>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</si>
  <si>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</si>
  <si>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</si>
  <si>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</si>
  <si>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</si>
  <si>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</si>
  <si>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</si>
  <si>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</si>
  <si>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</si>
  <si>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</si>
  <si>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</si>
  <si>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</si>
  <si>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</si>
  <si>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</si>
  <si>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</si>
  <si>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</si>
  <si>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</si>
  <si>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</si>
  <si>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</si>
  <si>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</si>
  <si>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</si>
  <si>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</si>
  <si>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</si>
  <si>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</si>
  <si>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</si>
  <si>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</si>
  <si>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</si>
  <si>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</si>
  <si>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</si>
  <si>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</si>
  <si>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</si>
  <si>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</si>
  <si>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</si>
  <si>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</si>
  <si>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</si>
  <si>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</si>
  <si>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</si>
  <si>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</si>
  <si>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</si>
  <si>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</si>
  <si>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</si>
  <si>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</si>
  <si>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</si>
  <si>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</si>
  <si>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</si>
  <si>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</si>
  <si>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</si>
  <si>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</si>
  <si>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</si>
  <si>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</si>
  <si>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</si>
  <si>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</si>
  <si>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</si>
  <si>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</si>
  <si>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</si>
  <si>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</si>
  <si>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</si>
  <si>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</si>
  <si>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</si>
  <si>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</si>
  <si>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</si>
  <si>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</si>
  <si>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</si>
  <si>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</si>
  <si>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</si>
  <si>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</si>
  <si>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</si>
  <si>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</si>
  <si>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</si>
  <si>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</si>
  <si>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</si>
  <si>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</si>
  <si>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</si>
  <si>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</si>
  <si>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</si>
  <si>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</si>
  <si>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</si>
  <si>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</si>
  <si>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</si>
  <si>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</si>
  <si>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</si>
  <si>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</si>
  <si>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</si>
  <si>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</si>
  <si>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</si>
  <si>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</si>
  <si>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</si>
  <si>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</si>
  <si>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</si>
  <si>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</si>
  <si>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</si>
  <si>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</si>
  <si>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</si>
  <si>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</si>
  <si>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</si>
  <si>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</si>
  <si>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</si>
  <si>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</si>
  <si>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</si>
  <si>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</si>
  <si>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</si>
  <si>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</si>
  <si>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</si>
  <si>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</si>
  <si>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</si>
  <si>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</si>
  <si>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</si>
  <si>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</si>
  <si>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</si>
  <si>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</si>
  <si>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</si>
  <si>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</si>
  <si>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</si>
  <si>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</si>
  <si>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</si>
  <si>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</si>
  <si>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</si>
  <si>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</si>
  <si>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</si>
  <si>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</si>
  <si>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</si>
  <si>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</si>
  <si>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</si>
  <si>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</si>
  <si>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</si>
  <si>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</si>
  <si>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</si>
  <si>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</si>
  <si>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</si>
  <si>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</si>
  <si>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</si>
  <si>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</si>
  <si>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</si>
  <si>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</si>
  <si>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</si>
  <si>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</si>
  <si>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</si>
  <si>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</si>
  <si>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</si>
  <si>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</si>
  <si>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</si>
  <si>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</si>
  <si>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</si>
  <si>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</si>
  <si>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</si>
  <si>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</si>
  <si>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</si>
  <si>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</si>
  <si>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</si>
  <si>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</si>
  <si>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</si>
  <si>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</si>
  <si>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</si>
  <si>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</si>
  <si>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</si>
  <si>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</si>
  <si>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</si>
  <si>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</si>
  <si>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</si>
  <si>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</si>
  <si>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</si>
  <si>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</si>
  <si>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</si>
  <si>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</si>
  <si>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</si>
  <si>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</si>
  <si>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</si>
  <si>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</si>
  <si>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</si>
  <si>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</si>
  <si>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</si>
  <si>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</si>
  <si>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</si>
  <si>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</si>
  <si>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</si>
  <si>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</si>
  <si>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</si>
  <si>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</si>
  <si>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</si>
  <si>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</si>
  <si>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</si>
  <si>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</si>
  <si>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</si>
  <si>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</si>
  <si>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</si>
  <si>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</si>
  <si>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</si>
  <si>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</si>
  <si>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</si>
  <si>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</si>
  <si>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</si>
  <si>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</si>
  <si>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</si>
  <si>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</si>
  <si>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</si>
  <si>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</si>
  <si>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</si>
  <si>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</si>
  <si>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</si>
  <si>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</si>
  <si>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</si>
  <si>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</si>
  <si>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</si>
  <si>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</si>
  <si>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</si>
  <si>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</si>
  <si>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</si>
  <si>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</si>
  <si>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</si>
  <si>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</si>
  <si>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</si>
  <si>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</si>
  <si>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</si>
  <si>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</si>
  <si>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</si>
  <si>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</si>
  <si>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</si>
  <si>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</si>
  <si>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</si>
  <si>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</si>
  <si>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</si>
  <si>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</si>
  <si>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</si>
  <si>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</si>
  <si>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</si>
  <si>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</si>
  <si>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</si>
  <si>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</si>
  <si>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</si>
  <si>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</si>
  <si>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</si>
  <si>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</si>
  <si>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</si>
  <si>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</si>
  <si>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</si>
  <si>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</si>
  <si>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</si>
  <si>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</si>
  <si>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</si>
  <si>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</si>
  <si>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</si>
  <si>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</si>
  <si>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</si>
  <si>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</si>
  <si>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</si>
  <si>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</si>
  <si>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</si>
  <si>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</si>
  <si>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</si>
  <si>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</si>
  <si>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</si>
  <si>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</si>
  <si>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</si>
  <si>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</si>
  <si>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</si>
  <si>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</si>
  <si>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</si>
  <si>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</si>
  <si>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</si>
  <si>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</si>
  <si>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</si>
  <si>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</si>
  <si>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</si>
  <si>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</si>
  <si>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</si>
  <si>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</si>
  <si>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</si>
  <si>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</si>
  <si>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</si>
  <si>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</si>
  <si>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</si>
  <si>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</si>
  <si>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</si>
  <si>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</si>
  <si>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</si>
  <si>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</si>
  <si>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</si>
  <si>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</si>
  <si>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</si>
  <si>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</si>
  <si>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</si>
  <si>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</si>
  <si>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</si>
  <si>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</si>
  <si>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</si>
  <si>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</si>
  <si>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</si>
  <si>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</si>
  <si>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</si>
  <si>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</si>
  <si>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</si>
  <si>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</si>
  <si>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</si>
  <si>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</si>
  <si>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</si>
  <si>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</si>
  <si>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</si>
  <si>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</si>
  <si>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</si>
  <si>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</si>
  <si>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</si>
  <si>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</si>
  <si>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</si>
  <si>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</si>
  <si>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</si>
  <si>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</si>
  <si>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</si>
  <si>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</si>
  <si>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</si>
  <si>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</si>
  <si>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</si>
  <si>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</si>
  <si>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</si>
  <si>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</si>
  <si>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</si>
  <si>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</si>
  <si>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</si>
  <si>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</si>
  <si>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</si>
  <si>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</si>
  <si>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</si>
  <si>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</si>
  <si>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</si>
  <si>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</si>
  <si>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</si>
  <si>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</si>
  <si>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</si>
  <si>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</si>
  <si>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</si>
  <si>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</si>
  <si>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</si>
  <si>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</si>
  <si>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</si>
  <si>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</si>
  <si>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</si>
  <si>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</si>
  <si>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</si>
  <si>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</si>
  <si>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</si>
  <si>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</si>
  <si>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</si>
  <si>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</si>
  <si>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</si>
  <si>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</si>
  <si>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</si>
  <si>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</si>
  <si>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</si>
  <si>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</si>
  <si>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</si>
  <si>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</si>
  <si>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</si>
  <si>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</si>
  <si>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</si>
  <si>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</si>
  <si>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</si>
  <si>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</si>
  <si>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</si>
  <si>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</si>
  <si>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</si>
  <si>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</si>
  <si>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</si>
  <si>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</si>
  <si>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</si>
  <si>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</si>
  <si>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</si>
  <si>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</si>
  <si>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</si>
  <si>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</si>
  <si>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</si>
  <si>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</si>
  <si>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</si>
  <si>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</si>
  <si>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</si>
  <si>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</si>
  <si>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</si>
  <si>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</si>
  <si>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</si>
  <si>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</si>
  <si>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</si>
  <si>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</si>
  <si>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</si>
  <si>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</si>
  <si>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</si>
  <si>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</si>
  <si>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</si>
  <si>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</si>
  <si>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</si>
  <si>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</si>
  <si>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</si>
  <si>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</si>
  <si>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</si>
  <si>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</si>
  <si>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</si>
  <si>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</si>
  <si>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</si>
  <si>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</si>
  <si>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</si>
  <si>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</si>
  <si>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</si>
  <si>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</si>
  <si>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</si>
  <si>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</si>
  <si>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</si>
  <si>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</si>
  <si>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</si>
  <si>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</si>
  <si>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</si>
  <si>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</si>
  <si>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</si>
  <si>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</si>
  <si>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</si>
  <si>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</si>
  <si>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</si>
  <si>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</si>
  <si>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</si>
  <si>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</si>
  <si>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</si>
  <si>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</si>
  <si>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</si>
  <si>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</si>
  <si>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</si>
  <si>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</si>
  <si>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</si>
  <si>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</si>
  <si>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</si>
  <si>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</si>
  <si>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</si>
  <si>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</si>
  <si>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</si>
  <si>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</si>
  <si>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</si>
  <si>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</si>
  <si>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</si>
  <si>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</si>
  <si>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</si>
  <si>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</si>
  <si>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</si>
  <si>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</si>
  <si>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</si>
  <si>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</si>
  <si>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</si>
  <si>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</si>
  <si>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</si>
  <si>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</si>
  <si>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</si>
  <si>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</si>
  <si>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</si>
  <si>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</si>
  <si>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</si>
  <si>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</si>
  <si>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</si>
  <si>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</si>
  <si>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</si>
  <si>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</si>
  <si>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</si>
  <si>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</si>
  <si>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</si>
  <si>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</si>
  <si>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</si>
  <si>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</si>
  <si>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</si>
  <si>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</si>
  <si>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</si>
  <si>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</si>
  <si>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</si>
  <si>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</si>
  <si>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</si>
  <si>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</si>
  <si>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</si>
  <si>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</si>
  <si>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</si>
  <si>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</si>
  <si>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</si>
  <si>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</si>
  <si>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</si>
  <si>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</si>
  <si>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</si>
  <si>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</si>
  <si>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</si>
  <si>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</si>
  <si>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</si>
  <si>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</si>
  <si>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</si>
  <si>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</si>
  <si>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</si>
  <si>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</si>
  <si>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</si>
  <si>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</si>
  <si>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</si>
  <si>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</si>
  <si>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</si>
  <si>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</si>
  <si>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</si>
  <si>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</si>
  <si>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</si>
  <si>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</si>
  <si>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</si>
  <si>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</si>
  <si>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</si>
  <si>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</si>
  <si>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</si>
  <si>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</si>
  <si>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</si>
  <si>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</si>
  <si>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</si>
  <si>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</si>
  <si>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</si>
  <si>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</si>
  <si>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</si>
  <si>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</si>
  <si>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</si>
  <si>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</si>
  <si>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</si>
  <si>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</si>
  <si>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</si>
  <si>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</si>
  <si>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</si>
  <si>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</si>
  <si>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</si>
  <si>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</si>
  <si>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</si>
  <si>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</si>
  <si>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</si>
  <si>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</si>
  <si>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</si>
  <si>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</si>
  <si>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</si>
  <si>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</si>
  <si>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</si>
  <si>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</si>
  <si>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</si>
  <si>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</si>
  <si>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</si>
  <si>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</si>
  <si>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</si>
  <si>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</si>
  <si>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</si>
  <si>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</si>
  <si>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</si>
  <si>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</si>
  <si>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</si>
  <si>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</si>
  <si>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</si>
  <si>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</si>
  <si>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</si>
  <si>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</si>
  <si>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</si>
  <si>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</si>
  <si>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</si>
  <si>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</si>
  <si>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</si>
  <si>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</si>
  <si>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</si>
  <si>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</si>
  <si>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</si>
  <si>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</si>
  <si>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</si>
  <si>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</si>
  <si>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</si>
  <si>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</si>
  <si>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</si>
  <si>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</si>
  <si>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</si>
  <si>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</si>
  <si>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</si>
  <si>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</si>
  <si>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</si>
  <si>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</si>
  <si>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</si>
  <si>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</si>
  <si>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</si>
  <si>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</si>
  <si>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</si>
  <si>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</si>
  <si>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</si>
  <si>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</si>
  <si>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</si>
  <si>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</si>
  <si>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</si>
  <si>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</si>
  <si>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</si>
  <si>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</si>
  <si>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</si>
  <si>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</si>
  <si>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</si>
  <si>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</si>
  <si>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</si>
  <si>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</si>
  <si>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</si>
  <si>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</si>
  <si>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</si>
  <si>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</si>
  <si>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</si>
  <si>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</si>
  <si>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</si>
  <si>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</si>
  <si>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</si>
  <si>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</si>
  <si>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</si>
  <si>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</si>
  <si>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</si>
  <si>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</si>
  <si>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</si>
  <si>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</si>
  <si>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</si>
  <si>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</si>
  <si>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</si>
  <si>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</si>
  <si>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</si>
  <si>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</si>
  <si>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</si>
  <si>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</si>
  <si>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</si>
  <si>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</si>
  <si>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</si>
  <si>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</si>
  <si>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</si>
  <si>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</si>
  <si>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</si>
  <si>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</si>
  <si>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</si>
  <si>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</si>
  <si>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</si>
  <si>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</si>
  <si>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</si>
  <si>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</si>
  <si>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</si>
  <si>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</si>
  <si>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</si>
  <si>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</si>
  <si>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</si>
  <si>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</si>
  <si>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</si>
  <si>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</si>
  <si>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</si>
  <si>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</si>
  <si>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</si>
  <si>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</si>
  <si>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</si>
  <si>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</si>
  <si>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</si>
  <si>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</si>
  <si>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</si>
  <si>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</si>
  <si>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</si>
  <si>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</si>
  <si>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</si>
  <si>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</si>
  <si>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</si>
  <si>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</si>
  <si>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</si>
  <si>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</si>
  <si>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</si>
  <si>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</si>
  <si>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</si>
  <si>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</si>
  <si>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</si>
  <si>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</si>
  <si>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</si>
  <si>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</si>
  <si>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</si>
  <si>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</si>
  <si>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</si>
  <si>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</si>
  <si>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</si>
  <si>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</si>
  <si>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</si>
  <si>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</si>
  <si>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</si>
  <si>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</si>
  <si>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</si>
  <si>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</si>
  <si>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</si>
  <si>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</si>
  <si>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</si>
  <si>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</si>
  <si>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</si>
  <si>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</si>
  <si>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</si>
  <si>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</si>
  <si>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</si>
  <si>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</si>
  <si>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</si>
  <si>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</si>
  <si>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</si>
  <si>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</si>
  <si>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</si>
  <si>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</si>
  <si>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</si>
  <si>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</si>
  <si>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</si>
  <si>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</si>
  <si>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</si>
  <si>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</si>
  <si>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</si>
  <si>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</si>
  <si>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</si>
  <si>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</si>
  <si>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</si>
  <si>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</si>
  <si>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</si>
  <si>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</si>
  <si>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</si>
  <si>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</si>
  <si>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</si>
  <si>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</si>
  <si>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</si>
  <si>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</si>
  <si>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</si>
  <si>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</si>
  <si>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</si>
  <si>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</si>
  <si>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</si>
  <si>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</si>
  <si>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</si>
  <si>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</si>
  <si>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</si>
  <si>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</si>
  <si>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</si>
  <si>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</si>
  <si>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</si>
  <si>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</si>
  <si>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</si>
  <si>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</si>
  <si>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</si>
  <si>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</si>
  <si>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</si>
  <si>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</si>
  <si>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</si>
  <si>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</si>
  <si>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</si>
  <si>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</si>
  <si>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</si>
  <si>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</si>
  <si>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</si>
  <si>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</si>
  <si>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</si>
  <si>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</si>
  <si>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</si>
  <si>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</si>
  <si>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</si>
  <si>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</si>
  <si>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</si>
  <si>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</si>
  <si>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</si>
  <si>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</si>
  <si>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</si>
  <si>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</si>
  <si>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</si>
  <si>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</si>
  <si>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</si>
  <si>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</si>
  <si>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</si>
  <si>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</si>
  <si>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</si>
  <si>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</si>
  <si>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</si>
  <si>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</si>
  <si>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</si>
  <si>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</si>
  <si>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</si>
  <si>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</si>
  <si>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</si>
  <si>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</si>
  <si>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</si>
  <si>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</si>
  <si>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</si>
  <si>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</si>
  <si>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</si>
  <si>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</si>
  <si>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</si>
  <si>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</si>
  <si>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</si>
  <si>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</si>
  <si>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</si>
  <si>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</si>
  <si>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</si>
  <si>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</si>
  <si>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</si>
  <si>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</si>
  <si>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</si>
  <si>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</si>
  <si>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</si>
  <si>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</si>
  <si>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</si>
  <si>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</si>
  <si>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</si>
  <si>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</si>
  <si>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</si>
  <si>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</si>
  <si>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</si>
  <si>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</si>
  <si>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</si>
  <si>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</si>
  <si>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</si>
  <si>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</si>
  <si>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</si>
  <si>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</si>
  <si>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</si>
  <si>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</si>
  <si>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</si>
  <si>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</si>
  <si>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</si>
  <si>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</si>
  <si>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</si>
  <si>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</si>
  <si>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</si>
  <si>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</si>
  <si>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</si>
  <si>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</si>
  <si>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</si>
  <si>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</si>
  <si>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</si>
  <si>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</si>
  <si>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</si>
  <si>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</si>
  <si>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</si>
  <si>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</si>
  <si>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</si>
  <si>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</si>
  <si>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</si>
  <si>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</si>
  <si>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</si>
  <si>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</si>
  <si>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</si>
  <si>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</si>
  <si>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</si>
  <si>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</si>
  <si>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</si>
  <si>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</si>
  <si>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</si>
  <si>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</si>
  <si>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</si>
  <si>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</si>
  <si>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</si>
  <si>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</si>
  <si>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</si>
  <si>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</si>
  <si>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</si>
  <si>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</si>
  <si>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</si>
  <si>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</si>
  <si>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</si>
  <si>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</si>
  <si>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</si>
  <si>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</si>
  <si>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</si>
  <si>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</si>
  <si>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</si>
  <si>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</si>
  <si>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</si>
  <si>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</si>
  <si>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</si>
  <si>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</si>
  <si>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</si>
  <si>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</si>
  <si>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</si>
  <si>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</si>
  <si>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</si>
  <si>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</si>
  <si>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</si>
  <si>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</si>
  <si>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</si>
  <si>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</si>
  <si>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</si>
  <si>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</si>
  <si>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</si>
  <si>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</si>
  <si>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</si>
  <si>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</si>
  <si>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</si>
  <si>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</si>
  <si>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</si>
  <si>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</si>
  <si>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</si>
  <si>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</si>
  <si>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</si>
  <si>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</si>
  <si>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</si>
  <si>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</si>
  <si>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</si>
  <si>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</si>
  <si>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</si>
  <si>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</si>
  <si>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</si>
  <si>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</si>
  <si>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</si>
  <si>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</si>
  <si>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</si>
  <si>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</si>
  <si>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</si>
  <si>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</si>
  <si>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</si>
  <si>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</si>
  <si>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</si>
  <si>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</si>
  <si>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</si>
  <si>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</si>
  <si>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</si>
  <si>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</si>
  <si>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</si>
  <si>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</si>
  <si>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</si>
  <si>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</si>
  <si>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</si>
  <si>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</si>
  <si>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</si>
  <si>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</si>
  <si>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</si>
  <si>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</si>
  <si>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</si>
  <si>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</si>
  <si>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</si>
  <si>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</si>
  <si>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</si>
  <si>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</si>
  <si>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</si>
  <si>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</si>
  <si>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</si>
  <si>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</si>
  <si>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</si>
  <si>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</si>
  <si>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</si>
  <si>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</si>
  <si>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</si>
  <si>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</si>
  <si>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</si>
  <si>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</si>
  <si>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</si>
  <si>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</si>
  <si>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</si>
  <si>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</si>
  <si>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</si>
  <si>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</si>
  <si>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</si>
  <si>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</si>
  <si>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</si>
  <si>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</si>
  <si>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</si>
  <si>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</si>
  <si>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</si>
  <si>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</si>
  <si>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</si>
  <si>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</si>
  <si>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</si>
  <si>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</si>
  <si>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</si>
  <si>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</si>
  <si>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</si>
  <si>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</si>
  <si>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</si>
  <si>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</si>
  <si>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</si>
  <si>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</si>
  <si>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</si>
  <si>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</si>
  <si>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</si>
  <si>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</si>
  <si>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</si>
  <si>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</si>
  <si>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</si>
  <si>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</si>
  <si>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</si>
  <si>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</si>
  <si>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</si>
  <si>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</si>
  <si>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</si>
  <si>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</si>
  <si>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</si>
  <si>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</si>
  <si>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</si>
  <si>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</si>
  <si>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</si>
  <si>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</si>
  <si>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</si>
  <si>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</si>
  <si>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</si>
  <si>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</si>
  <si>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</si>
  <si>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</si>
  <si>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</si>
  <si>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</si>
  <si>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</si>
  <si>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</si>
  <si>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</si>
  <si>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</si>
  <si>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</si>
  <si>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</si>
  <si>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</si>
  <si>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</si>
  <si>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</si>
  <si>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</si>
  <si>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</si>
  <si>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</si>
  <si>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</si>
  <si>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</si>
  <si>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</si>
  <si>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</si>
  <si>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</si>
  <si>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</si>
  <si>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</si>
  <si>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</si>
  <si>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</si>
  <si>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</si>
  <si>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</si>
  <si>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</si>
  <si>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</si>
  <si>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</si>
  <si>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</si>
  <si>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</si>
  <si>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</si>
  <si>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</si>
  <si>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</si>
  <si>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</si>
  <si>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</si>
  <si>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</si>
  <si>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</si>
  <si>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</si>
  <si>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</si>
  <si>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</si>
  <si>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</si>
  <si>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</si>
  <si>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</si>
  <si>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</si>
  <si>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</si>
  <si>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</si>
  <si>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</si>
  <si>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</si>
  <si>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</si>
  <si>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</si>
  <si>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</si>
  <si>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</si>
  <si>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</si>
  <si>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</si>
  <si>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</si>
  <si>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</si>
  <si>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</si>
  <si>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</si>
  <si>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</si>
  <si>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</si>
  <si>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</si>
  <si>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</si>
  <si>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</si>
  <si>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</si>
  <si>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</si>
  <si>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</si>
  <si>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</si>
  <si>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</si>
  <si>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</si>
  <si>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</si>
  <si>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</si>
  <si>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</si>
  <si>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</si>
  <si>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</si>
  <si>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</si>
  <si>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</si>
  <si>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</si>
  <si>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</si>
  <si>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</si>
  <si>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</si>
  <si>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</si>
  <si>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</si>
  <si>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</si>
  <si>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</si>
  <si>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</si>
  <si>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</si>
  <si>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</si>
  <si>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</si>
  <si>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</si>
  <si>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</si>
  <si>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</si>
  <si>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</si>
  <si>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</si>
  <si>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</si>
  <si>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</si>
  <si>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</si>
  <si>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</si>
  <si>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</si>
  <si>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</si>
  <si>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</si>
  <si>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</si>
  <si>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</si>
  <si>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</si>
  <si>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</si>
  <si>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</si>
  <si>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</si>
  <si>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</si>
  <si>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</si>
  <si>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</si>
  <si>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</si>
  <si>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</si>
  <si>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</si>
  <si>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</si>
  <si>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</si>
  <si>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</si>
  <si>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</si>
  <si>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</si>
  <si>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</si>
  <si>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</si>
  <si>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</si>
  <si>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</si>
  <si>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</si>
  <si>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</si>
  <si>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</si>
  <si>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</si>
  <si>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</si>
  <si>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</si>
  <si>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</si>
  <si>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</si>
  <si>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</si>
  <si>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</si>
  <si>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</si>
  <si>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</si>
  <si>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</si>
  <si>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</si>
  <si>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</si>
  <si>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</si>
  <si>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</si>
  <si>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</si>
  <si>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</si>
  <si>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</si>
  <si>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</si>
  <si>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</si>
  <si>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</si>
  <si>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</si>
  <si>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</si>
  <si>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</si>
  <si>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</si>
  <si>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</si>
  <si>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</si>
  <si>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</si>
  <si>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</si>
  <si>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</si>
  <si>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</si>
  <si>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</si>
  <si>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</si>
  <si>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</si>
  <si>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</si>
  <si>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</si>
  <si>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</si>
  <si>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</si>
  <si>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</si>
  <si>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</si>
  <si>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</si>
  <si>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</si>
  <si>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</si>
  <si>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</si>
  <si>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</si>
  <si>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</si>
  <si>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</si>
  <si>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</si>
  <si>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</si>
  <si>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</si>
  <si>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</si>
  <si>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</si>
  <si>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</si>
  <si>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</si>
  <si>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</si>
  <si>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</si>
  <si>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</si>
  <si>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</si>
  <si>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</si>
  <si>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</si>
  <si>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</si>
  <si>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</si>
  <si>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</si>
  <si>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</si>
  <si>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</si>
  <si>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</si>
  <si>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</si>
  <si>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</si>
  <si>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</si>
  <si>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</si>
  <si>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</si>
  <si>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</si>
  <si>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</si>
  <si>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</si>
  <si>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</si>
  <si>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</si>
  <si>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</si>
  <si>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</si>
  <si>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</si>
  <si>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</si>
  <si>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</si>
  <si>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</si>
  <si>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</si>
  <si>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</si>
  <si>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</si>
  <si>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</si>
  <si>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</si>
  <si>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</si>
  <si>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</si>
  <si>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</si>
  <si>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</si>
  <si>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</si>
  <si>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</si>
  <si>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</si>
  <si>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</si>
  <si>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</si>
  <si>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</si>
  <si>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</si>
  <si>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</si>
  <si>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</si>
  <si>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</si>
  <si>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</si>
  <si>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</si>
  <si>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</si>
  <si>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</si>
  <si>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</si>
  <si>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</si>
  <si>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</si>
  <si>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</si>
  <si>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</si>
  <si>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</si>
  <si>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</si>
  <si>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</si>
  <si>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</si>
  <si>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</si>
  <si>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</si>
  <si>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</si>
  <si>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</si>
  <si>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</si>
  <si>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</si>
  <si>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</si>
  <si>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</si>
  <si>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</si>
  <si>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</si>
  <si>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</si>
  <si>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</si>
  <si>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</si>
  <si>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</si>
  <si>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</si>
  <si>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</si>
  <si>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</si>
  <si>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</si>
  <si>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</si>
  <si>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</si>
  <si>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</si>
  <si>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</si>
  <si>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</si>
  <si>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</si>
  <si>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</si>
  <si>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</si>
  <si>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</si>
  <si>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</si>
  <si>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</si>
  <si>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</si>
  <si>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</si>
  <si>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</si>
  <si>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</si>
  <si>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</si>
  <si>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</si>
  <si>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</si>
  <si>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</si>
  <si>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</si>
  <si>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</si>
  <si>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</si>
  <si>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</si>
  <si>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</si>
  <si>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</si>
  <si>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</si>
  <si>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</si>
  <si>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</si>
  <si>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</si>
  <si>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</si>
  <si>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</si>
  <si>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</si>
  <si>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</si>
  <si>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</si>
  <si>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</si>
  <si>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</si>
  <si>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</si>
  <si>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</si>
  <si>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</si>
  <si>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</si>
  <si>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</si>
  <si>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</si>
  <si>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</si>
  <si>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</si>
  <si>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</si>
  <si>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</si>
  <si>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</si>
  <si>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</si>
  <si>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</si>
  <si>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</si>
  <si>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</si>
  <si>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</si>
  <si>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</si>
  <si>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</si>
  <si>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</si>
  <si>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</si>
  <si>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</si>
  <si>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</si>
  <si>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</si>
  <si>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</si>
  <si>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</si>
  <si>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</si>
  <si>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</si>
  <si>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</si>
  <si>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</si>
  <si>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</si>
  <si>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</si>
  <si>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</si>
  <si>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</si>
  <si>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</si>
  <si>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</si>
  <si>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</si>
  <si>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</si>
  <si>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</si>
  <si>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</si>
  <si>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</si>
  <si>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</si>
  <si>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</si>
  <si>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</si>
  <si>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</si>
  <si>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</si>
  <si>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</si>
  <si>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</si>
  <si>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</si>
  <si>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</si>
  <si>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</si>
  <si>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</si>
  <si>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</si>
  <si>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</si>
  <si>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</si>
  <si>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</si>
  <si>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</si>
  <si>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</si>
  <si>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</si>
  <si>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</si>
  <si>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</si>
  <si>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</si>
  <si>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</si>
  <si>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</si>
  <si>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</si>
  <si>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</si>
  <si>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</si>
  <si>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</si>
  <si>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</si>
  <si>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</si>
  <si>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</si>
  <si>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</si>
  <si>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</si>
  <si>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</si>
  <si>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</si>
  <si>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</si>
  <si>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</si>
  <si>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</si>
  <si>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</si>
  <si>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</si>
  <si>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</si>
  <si>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</si>
  <si>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</si>
  <si>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</si>
  <si>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</si>
  <si>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</si>
  <si>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</si>
  <si>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4189671</t>
  </si>
  <si>
    <t>4189672</t>
  </si>
  <si>
    <t>4189673</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</si>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</sst>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5">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1997@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28" customWidth="1"/>
    <col min="2" max="2" width="9.140625" style="2028" customWidth="1"/>
    <col min="3" max="3" width="16.42578125" style="2028" customWidth="1"/>
    <col min="4" max="25" width="6.28515625" style="2028" customWidth="1"/>
    <col min="26" max="28" width="11" style="2028"/>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039" t="s">
        <v>1</v>
      </c>
      <c r="C2" s="2039"/>
      <c r="D2" s="2039"/>
      <c r="E2" s="2039"/>
      <c r="F2" s="2039"/>
      <c r="G2" s="2039"/>
      <c r="H2" s="2039"/>
      <c r="I2" s="2039"/>
      <c r="J2" s="2039"/>
      <c r="K2" s="2039"/>
      <c r="L2" s="2039"/>
      <c r="M2" s="2039"/>
      <c r="N2" s="2039"/>
      <c r="O2" s="2039"/>
      <c r="P2" s="2039"/>
      <c r="Q2" s="1632"/>
      <c r="R2" s="1632"/>
      <c r="S2" s="1632"/>
      <c r="T2" s="1632"/>
      <c r="U2" s="1632"/>
      <c r="V2" s="1633"/>
      <c r="W2" s="1632"/>
      <c r="X2" s="1632"/>
      <c r="Y2" s="1630"/>
      <c r="Z2" s="1629"/>
      <c r="AA2" s="1631"/>
      <c r="AB2" s="1629"/>
    </row>
    <row r="3" spans="1:28" ht="15.75" customHeight="1">
      <c r="A3" s="1629"/>
      <c r="B3" s="2040" t="s">
        <v>2</v>
      </c>
      <c r="C3" s="2040"/>
      <c r="D3" s="2040"/>
      <c r="E3" s="2040"/>
      <c r="F3" s="2040"/>
      <c r="G3" s="2040"/>
      <c r="H3" s="2040"/>
      <c r="I3" s="2040"/>
      <c r="J3" s="2040"/>
      <c r="K3" s="2040"/>
      <c r="L3" s="2040"/>
      <c r="M3" s="2040"/>
      <c r="N3" s="2040"/>
      <c r="O3" s="2040"/>
      <c r="P3" s="2040"/>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04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42"/>
      <c r="D5" s="2042"/>
      <c r="E5" s="2042"/>
      <c r="F5" s="2042"/>
      <c r="G5" s="2042"/>
      <c r="H5" s="2042"/>
      <c r="I5" s="2042"/>
      <c r="J5" s="2042"/>
      <c r="K5" s="2042"/>
      <c r="L5" s="2042"/>
      <c r="M5" s="2042"/>
      <c r="N5" s="2042"/>
      <c r="O5" s="2042"/>
      <c r="P5" s="2042"/>
      <c r="Q5" s="2042"/>
      <c r="R5" s="2042"/>
      <c r="S5" s="2042"/>
      <c r="T5" s="2042"/>
      <c r="U5" s="2042"/>
      <c r="V5" s="2042"/>
      <c r="W5" s="2042"/>
      <c r="X5" s="2042"/>
      <c r="Y5" s="2043"/>
      <c r="Z5" s="1635"/>
      <c r="AA5" s="1631"/>
      <c r="AB5" s="1635"/>
    </row>
    <row r="6" spans="1:28" ht="15" customHeight="1">
      <c r="A6" s="1636"/>
      <c r="B6" s="2031" t="s">
        <v>3</v>
      </c>
      <c r="C6" s="2034"/>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31"/>
      <c r="C7" s="2034"/>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31"/>
      <c r="C8" s="2034"/>
      <c r="D8" s="1642"/>
      <c r="E8" s="1643" t="s">
        <v>4</v>
      </c>
      <c r="F8" s="2044" t="s">
        <v>5</v>
      </c>
      <c r="G8" s="2033"/>
      <c r="H8" s="2033"/>
      <c r="I8" s="2033"/>
      <c r="J8" s="2033"/>
      <c r="K8" s="2033"/>
      <c r="L8" s="2033"/>
      <c r="M8" s="2033"/>
      <c r="N8" s="1642"/>
      <c r="O8" s="1644" t="s">
        <v>4</v>
      </c>
      <c r="P8" s="2045" t="s">
        <v>6</v>
      </c>
      <c r="Q8" s="2046"/>
      <c r="R8" s="2046"/>
      <c r="S8" s="2046"/>
      <c r="T8" s="2046"/>
      <c r="U8" s="2046"/>
      <c r="V8" s="2046"/>
      <c r="W8" s="2046"/>
      <c r="X8" s="2046"/>
      <c r="Y8" s="1638"/>
      <c r="Z8" s="1639"/>
      <c r="AA8" s="1640"/>
      <c r="AB8" s="1640"/>
    </row>
    <row r="9" spans="1:28" ht="15" customHeight="1">
      <c r="A9" s="1636"/>
      <c r="B9" s="2031"/>
      <c r="C9" s="2034"/>
      <c r="D9" s="1642"/>
      <c r="E9" s="1645" t="s">
        <v>4</v>
      </c>
      <c r="F9" s="2044" t="s">
        <v>7</v>
      </c>
      <c r="G9" s="2033"/>
      <c r="H9" s="2033"/>
      <c r="I9" s="2033"/>
      <c r="J9" s="2033"/>
      <c r="K9" s="2033"/>
      <c r="L9" s="2033"/>
      <c r="M9" s="2033"/>
      <c r="N9" s="1642"/>
      <c r="O9" s="1646" t="s">
        <v>4</v>
      </c>
      <c r="P9" s="2045" t="s">
        <v>8</v>
      </c>
      <c r="Q9" s="2046"/>
      <c r="R9" s="2046"/>
      <c r="S9" s="2046"/>
      <c r="T9" s="2046"/>
      <c r="U9" s="2046"/>
      <c r="V9" s="2046"/>
      <c r="W9" s="2046"/>
      <c r="X9" s="2046"/>
      <c r="Y9" s="1638"/>
      <c r="Z9" s="1639"/>
      <c r="AA9" s="1640"/>
      <c r="AB9" s="1640"/>
    </row>
    <row r="10" spans="1:28" ht="30" customHeight="1">
      <c r="A10" s="1636"/>
      <c r="B10" s="2031"/>
      <c r="C10" s="2032"/>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30"/>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31"/>
      <c r="C12" s="2032"/>
      <c r="D12" s="1650"/>
      <c r="E12" s="2033" t="s">
        <v>10</v>
      </c>
      <c r="F12" s="2033"/>
      <c r="G12" s="2033"/>
      <c r="H12" s="2033"/>
      <c r="I12" s="2033"/>
      <c r="J12" s="2033"/>
      <c r="K12" s="2033"/>
      <c r="L12" s="2033"/>
      <c r="M12" s="2033"/>
      <c r="N12" s="2033"/>
      <c r="O12" s="2033"/>
      <c r="P12" s="2033"/>
      <c r="Q12" s="2033"/>
      <c r="R12" s="2033"/>
      <c r="S12" s="2033"/>
      <c r="T12" s="2033"/>
      <c r="U12" s="2033"/>
      <c r="V12" s="2033"/>
      <c r="W12" s="2033"/>
      <c r="X12" s="2033"/>
      <c r="Y12" s="1638"/>
      <c r="Z12" s="1639"/>
      <c r="AA12" s="1640"/>
      <c r="AB12" s="1640"/>
    </row>
    <row r="13" spans="1:28" ht="15" customHeight="1">
      <c r="A13" s="1636"/>
      <c r="B13" s="1" t="s">
        <v>11</v>
      </c>
      <c r="C13" s="2030"/>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31"/>
      <c r="C14" s="2034"/>
      <c r="D14" s="1642"/>
      <c r="E14" s="2037" t="s">
        <v>12</v>
      </c>
      <c r="F14" s="2037"/>
      <c r="G14" s="2037"/>
      <c r="H14" s="2037"/>
      <c r="I14" s="2037"/>
      <c r="J14" s="2037"/>
      <c r="K14" s="2037"/>
      <c r="L14" s="2037"/>
      <c r="M14" s="2037"/>
      <c r="N14" s="2037"/>
      <c r="O14" s="2037"/>
      <c r="P14" s="2037"/>
      <c r="Q14" s="2037"/>
      <c r="R14" s="2037"/>
      <c r="S14" s="2037"/>
      <c r="T14" s="2037"/>
      <c r="U14" s="2037"/>
      <c r="V14" s="2037"/>
      <c r="W14" s="2037"/>
      <c r="X14" s="2037"/>
      <c r="Y14" s="1638"/>
      <c r="Z14" s="1639"/>
      <c r="AA14" s="1640"/>
      <c r="AB14" s="1640"/>
    </row>
    <row r="15" spans="1:28" ht="16.5" customHeight="1">
      <c r="A15" s="1636"/>
      <c r="B15" s="2035"/>
      <c r="C15" s="2036"/>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037"/>
      <c r="C16" s="2038"/>
      <c r="D16" s="2038"/>
      <c r="E16" s="2038"/>
      <c r="F16" s="2038"/>
      <c r="G16" s="2038"/>
      <c r="H16" s="2038"/>
      <c r="I16" s="2038"/>
      <c r="J16" s="2038"/>
      <c r="K16" s="2038"/>
      <c r="L16" s="2038"/>
      <c r="M16" s="2038"/>
      <c r="N16" s="2038"/>
      <c r="O16" s="2038"/>
      <c r="P16" s="2038"/>
      <c r="Q16" s="2038"/>
      <c r="R16" s="2038"/>
      <c r="S16" s="2038"/>
      <c r="T16" s="2038"/>
      <c r="U16" s="2038"/>
      <c r="V16" s="2038"/>
      <c r="W16" s="2038"/>
      <c r="X16" s="2038"/>
      <c r="Y16" s="2038"/>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C1" zoomScale="90" workbookViewId="0">
      <selection activeCell="F70" sqref="F70"/>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3" customWidth="1"/>
    <col min="5" max="6" width="55" style="1563" customWidth="1"/>
    <col min="7" max="7" width="1" style="2001" customWidth="1"/>
    <col min="8" max="8" width="18" style="1563" hidden="1" customWidth="1"/>
    <col min="9" max="9" width="59" style="469" customWidth="1"/>
    <col min="10" max="10" width="52.1406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PP108.OPEN.INFO.QUARTER.COLDVSNA.EIAS</v>
      </c>
      <c r="F2" s="207"/>
      <c r="G2" s="183"/>
      <c r="H2" s="183"/>
      <c r="I2" s="183"/>
      <c r="J2" s="804"/>
      <c r="K2" s="183"/>
      <c r="Q2" s="11">
        <v>14</v>
      </c>
    </row>
    <row r="3" spans="1:17" ht="14.65" customHeight="1">
      <c r="E3" s="184" t="str">
        <f>version</f>
        <v>Версия отчёта: 1.1.1</v>
      </c>
      <c r="F3" s="207"/>
      <c r="G3" s="703"/>
      <c r="H3" s="703"/>
      <c r="I3" s="703"/>
      <c r="J3" s="805"/>
      <c r="K3" s="28"/>
      <c r="Q3" s="14">
        <v>14</v>
      </c>
    </row>
    <row r="4" spans="1:17" s="1540" customFormat="1" ht="6.4" customHeight="1">
      <c r="A4" s="716"/>
      <c r="B4" s="170"/>
      <c r="C4" s="171"/>
      <c r="D4" s="172"/>
      <c r="E4" s="181"/>
      <c r="F4" s="182"/>
      <c r="G4" s="704"/>
      <c r="H4" s="347"/>
      <c r="I4" s="349"/>
      <c r="J4" s="806"/>
      <c r="Q4" s="174">
        <v>6</v>
      </c>
    </row>
    <row r="5" spans="1:17" ht="39.75" customHeight="1">
      <c r="D5" s="15"/>
      <c r="E5" s="2047"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48"/>
      <c r="G5" s="705"/>
      <c r="J5" s="807"/>
      <c r="Q5" s="14">
        <v>38</v>
      </c>
    </row>
    <row r="6" spans="1:17" s="1540" customFormat="1" ht="6.4"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4"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hidden="1" customHeight="1">
      <c r="A11" s="2050" t="s">
        <v>20</v>
      </c>
      <c r="D11" s="15"/>
      <c r="E11" s="1093" t="s">
        <v>21</v>
      </c>
      <c r="F11" s="1659" t="s">
        <v>22</v>
      </c>
      <c r="G11" s="17"/>
      <c r="H11" s="706" t="s">
        <v>23</v>
      </c>
      <c r="J11" s="808" t="s">
        <v>24</v>
      </c>
      <c r="Q11" s="14">
        <v>0</v>
      </c>
    </row>
    <row r="12" spans="1:17" ht="22.5" hidden="1" customHeight="1">
      <c r="A12" s="2050"/>
      <c r="D12" s="15"/>
      <c r="E12" s="1093" t="s">
        <v>25</v>
      </c>
      <c r="F12" s="1659"/>
      <c r="G12" s="13"/>
      <c r="J12" s="808" t="s">
        <v>26</v>
      </c>
      <c r="Q12" s="14">
        <v>0</v>
      </c>
    </row>
    <row r="13" spans="1:17" s="1563" customFormat="1" ht="22.5" hidden="1" customHeight="1">
      <c r="A13" s="720" t="s">
        <v>27</v>
      </c>
      <c r="B13" s="38"/>
      <c r="C13" s="346"/>
      <c r="D13" s="348"/>
      <c r="E13" s="1702" t="s">
        <v>28</v>
      </c>
      <c r="F13" s="1659" t="s">
        <v>22</v>
      </c>
      <c r="G13" s="17"/>
      <c r="H13" s="703"/>
      <c r="I13" s="349"/>
      <c r="J13" s="1703" t="s">
        <v>29</v>
      </c>
      <c r="Q13" s="347">
        <v>0</v>
      </c>
    </row>
    <row r="14" spans="1:17" s="1563" customFormat="1" ht="27" customHeight="1">
      <c r="A14" s="720" t="s">
        <v>30</v>
      </c>
      <c r="B14" s="38"/>
      <c r="C14" s="346"/>
      <c r="D14" s="348"/>
      <c r="E14" s="1093" t="s">
        <v>31</v>
      </c>
      <c r="F14" s="1694">
        <v>2024</v>
      </c>
      <c r="G14" s="17"/>
      <c r="H14" s="703"/>
      <c r="I14" s="349"/>
      <c r="J14" s="808" t="s">
        <v>32</v>
      </c>
      <c r="Q14" s="347">
        <v>0</v>
      </c>
    </row>
    <row r="15" spans="1:17" s="1563" customFormat="1" ht="19.5" customHeight="1">
      <c r="A15" s="720" t="s">
        <v>33</v>
      </c>
      <c r="B15" s="38"/>
      <c r="C15" s="346"/>
      <c r="D15" s="348"/>
      <c r="E15" s="1093" t="s">
        <v>34</v>
      </c>
      <c r="F15" s="1694" t="s">
        <v>35</v>
      </c>
      <c r="G15" s="17"/>
      <c r="H15" s="703"/>
      <c r="I15" s="349"/>
      <c r="J15" s="808" t="s">
        <v>36</v>
      </c>
      <c r="Q15" s="347">
        <v>0</v>
      </c>
    </row>
    <row r="16" spans="1:17" s="1540" customFormat="1" ht="6.4" customHeight="1">
      <c r="A16" s="717"/>
      <c r="B16" s="170"/>
      <c r="C16" s="171"/>
      <c r="D16" s="177"/>
      <c r="E16" s="175"/>
      <c r="F16" s="178"/>
      <c r="G16" s="17"/>
      <c r="H16" s="347"/>
      <c r="I16" s="349"/>
      <c r="J16" s="806"/>
      <c r="Q16" s="174">
        <v>6</v>
      </c>
    </row>
    <row r="17" spans="1:17" ht="21" customHeight="1">
      <c r="D17" s="15"/>
      <c r="E17" s="329" t="s">
        <v>37</v>
      </c>
      <c r="F17" s="154" t="s">
        <v>38</v>
      </c>
      <c r="G17" s="13"/>
      <c r="H17" s="706" t="s">
        <v>23</v>
      </c>
      <c r="Q17" s="14">
        <v>20</v>
      </c>
    </row>
    <row r="18" spans="1:17" ht="25.5" hidden="1" customHeight="1">
      <c r="D18" s="15"/>
      <c r="E18" s="1702" t="s">
        <v>39</v>
      </c>
      <c r="F18" s="1660"/>
      <c r="G18" s="13"/>
      <c r="I18" s="707"/>
      <c r="J18" s="2049" t="s">
        <v>40</v>
      </c>
      <c r="Q18" s="14">
        <v>0</v>
      </c>
    </row>
    <row r="19" spans="1:17" ht="25.5" hidden="1"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3"/>
      <c r="I19" s="707"/>
      <c r="J19" s="2049"/>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41</v>
      </c>
      <c r="Q20" s="14">
        <v>0</v>
      </c>
    </row>
    <row r="21" spans="1:17" ht="19.5" hidden="1" customHeight="1">
      <c r="D21" s="15"/>
      <c r="E21" s="329" t="str">
        <f>"Дата "&amp;IF(TEMPLATE_GROUP="P","документа","подачи заявления")&amp;" об утверждении тарифов"</f>
        <v>Дата подачи заявления об утверждении тарифов</v>
      </c>
      <c r="F21" s="1659"/>
      <c r="G21" s="13"/>
      <c r="I21" s="708"/>
      <c r="Q21" s="14">
        <v>0</v>
      </c>
    </row>
    <row r="22" spans="1:17" ht="19.5" hidden="1" customHeight="1">
      <c r="D22" s="15"/>
      <c r="E22" s="329" t="str">
        <f>"Номер "&amp;IF(TEMPLATE_GROUP="P","документа","подачи заявления")&amp;" об утверждении тарифов"</f>
        <v>Номер подачи заявления об утверждении тарифов</v>
      </c>
      <c r="F22" s="154"/>
      <c r="G22" s="13"/>
      <c r="I22" s="708"/>
      <c r="Q22" s="14">
        <v>0</v>
      </c>
    </row>
    <row r="23" spans="1:17" ht="22.5" hidden="1" customHeight="1">
      <c r="D23" s="15"/>
      <c r="E23" s="329" t="s">
        <v>42</v>
      </c>
      <c r="F23" s="154"/>
      <c r="G23" s="13"/>
      <c r="Q23" s="14">
        <v>0</v>
      </c>
    </row>
    <row r="24" spans="1:17" ht="19.5" hidden="1" customHeight="1">
      <c r="D24" s="15"/>
      <c r="E24" s="329"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7" t="s">
        <v>44</v>
      </c>
      <c r="Q25" s="14">
        <v>0</v>
      </c>
    </row>
    <row r="26" spans="1:17" ht="19.5" hidden="1" customHeight="1">
      <c r="D26" s="15"/>
      <c r="E26" s="329" t="str">
        <f>"Дата "&amp;IF(TEMPLATE_GROUP="P","принятия решения","подачи заявления")&amp;" об изменении тарифов"</f>
        <v>Дата подачи заявления об изменении тарифов</v>
      </c>
      <c r="F26" s="1660"/>
      <c r="G26" s="13"/>
      <c r="Q26" s="14">
        <v>0</v>
      </c>
    </row>
    <row r="27" spans="1:17" ht="19.5" hidden="1" customHeight="1">
      <c r="D27" s="15"/>
      <c r="E27" s="1093"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9" t="s">
        <v>45</v>
      </c>
      <c r="F28" s="156"/>
      <c r="G28" s="13"/>
      <c r="Q28" s="14">
        <v>0</v>
      </c>
    </row>
    <row r="29" spans="1:17" ht="19.5" hidden="1" customHeight="1">
      <c r="D29" s="15"/>
      <c r="E29" s="329" t="s">
        <v>43</v>
      </c>
      <c r="F29" s="156"/>
      <c r="G29" s="13"/>
      <c r="Q29" s="14">
        <v>0</v>
      </c>
    </row>
    <row r="30" spans="1:17" s="1540" customFormat="1" ht="6.4"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46</v>
      </c>
      <c r="G31" s="709"/>
      <c r="Q31" s="14">
        <v>20</v>
      </c>
    </row>
    <row r="32" spans="1:17" ht="21" hidden="1" customHeight="1">
      <c r="C32" s="18"/>
      <c r="D32" s="19"/>
      <c r="E32" s="330" t="s">
        <v>47</v>
      </c>
      <c r="F32" s="155"/>
      <c r="G32" s="709"/>
      <c r="Q32" s="14">
        <v>20</v>
      </c>
    </row>
    <row r="33" spans="1:17" ht="21" customHeight="1">
      <c r="C33" s="18"/>
      <c r="D33" s="19"/>
      <c r="E33" s="329" t="s">
        <v>48</v>
      </c>
      <c r="F33" s="155" t="s">
        <v>49</v>
      </c>
      <c r="G33" s="709"/>
      <c r="Q33" s="14">
        <v>20</v>
      </c>
    </row>
    <row r="34" spans="1:17" ht="21" customHeight="1">
      <c r="C34" s="18"/>
      <c r="D34" s="19"/>
      <c r="E34" s="329" t="s">
        <v>50</v>
      </c>
      <c r="F34" s="155" t="s">
        <v>51</v>
      </c>
      <c r="G34" s="709"/>
      <c r="H34" s="20"/>
      <c r="Q34" s="14">
        <v>20</v>
      </c>
    </row>
    <row r="35" spans="1:17" s="1540" customFormat="1" ht="11.45" customHeight="1">
      <c r="A35" s="717"/>
      <c r="B35" s="170"/>
      <c r="C35" s="171"/>
      <c r="D35" s="177"/>
      <c r="E35" s="175"/>
      <c r="F35" s="178"/>
      <c r="G35" s="17"/>
      <c r="H35" s="347"/>
      <c r="I35" s="349"/>
      <c r="J35" s="806"/>
      <c r="Q35" s="174">
        <v>11</v>
      </c>
    </row>
    <row r="36" spans="1:17" ht="19.5" hidden="1" customHeight="1">
      <c r="A36" s="811"/>
      <c r="D36" s="19"/>
      <c r="E36" s="329" t="s">
        <v>52</v>
      </c>
      <c r="F36" s="286"/>
      <c r="G36" s="17"/>
      <c r="Q36" s="14">
        <v>0</v>
      </c>
    </row>
    <row r="37" spans="1:17" ht="21" customHeight="1">
      <c r="A37" s="811"/>
      <c r="D37" s="19"/>
      <c r="E37" s="329" t="s">
        <v>53</v>
      </c>
      <c r="F37" s="1138" t="s">
        <v>54</v>
      </c>
      <c r="G37" s="17"/>
      <c r="Q37" s="14">
        <v>20</v>
      </c>
    </row>
    <row r="38" spans="1:17" s="1540" customFormat="1" ht="6.4" customHeight="1">
      <c r="A38" s="717"/>
      <c r="B38" s="170"/>
      <c r="C38" s="171"/>
      <c r="D38" s="172"/>
      <c r="E38" s="173"/>
      <c r="F38" s="984"/>
      <c r="G38" s="13"/>
      <c r="H38" s="347"/>
      <c r="I38" s="349"/>
      <c r="J38" s="808"/>
      <c r="Q38" s="174">
        <v>6</v>
      </c>
    </row>
    <row r="39" spans="1:17" ht="36.75" customHeight="1">
      <c r="A39" s="717"/>
      <c r="D39" s="15"/>
      <c r="E39" s="329" t="s">
        <v>55</v>
      </c>
      <c r="F39" s="648" t="s">
        <v>19</v>
      </c>
      <c r="G39" s="13"/>
      <c r="H39" s="706" t="s">
        <v>23</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27</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56</v>
      </c>
      <c r="F43" s="648" t="s">
        <v>19</v>
      </c>
      <c r="G43" s="13"/>
      <c r="I43" s="349"/>
      <c r="J43" s="808"/>
      <c r="Q43" s="347">
        <v>0</v>
      </c>
    </row>
    <row r="44" spans="1:17" s="1563" customFormat="1" ht="27" hidden="1" customHeight="1">
      <c r="A44" s="716"/>
      <c r="B44" s="351"/>
      <c r="C44" s="346"/>
      <c r="D44" s="348"/>
      <c r="E44" s="1093" t="s">
        <v>57</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58</v>
      </c>
      <c r="F46" s="648" t="s">
        <v>19</v>
      </c>
      <c r="G46" s="13"/>
      <c r="H46" s="347"/>
      <c r="I46" s="349"/>
      <c r="J46" s="808"/>
      <c r="Q46" s="368">
        <v>0</v>
      </c>
    </row>
    <row r="47" spans="1:17" s="1563" customFormat="1" ht="24.75" hidden="1" customHeight="1">
      <c r="A47" s="716"/>
      <c r="B47" s="351"/>
      <c r="C47" s="346"/>
      <c r="D47" s="348"/>
      <c r="E47" s="1093" t="s">
        <v>59</v>
      </c>
      <c r="F47" s="648" t="s">
        <v>19</v>
      </c>
      <c r="G47" s="13"/>
      <c r="I47" s="349"/>
      <c r="J47" s="808"/>
      <c r="Q47" s="347">
        <v>0</v>
      </c>
    </row>
    <row r="48" spans="1:17" s="1540"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8"/>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60</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61</v>
      </c>
      <c r="F53" s="979" t="s">
        <v>19</v>
      </c>
      <c r="G53" s="470"/>
      <c r="I53" s="472"/>
      <c r="J53" s="810"/>
      <c r="P53" s="473"/>
      <c r="Q53" s="471">
        <v>0</v>
      </c>
    </row>
    <row r="54" spans="1:17" s="1563" customFormat="1" ht="27" hidden="1" customHeight="1">
      <c r="A54" s="718"/>
      <c r="B54" s="351"/>
      <c r="C54" s="468"/>
      <c r="D54" s="469"/>
      <c r="E54" s="329" t="s">
        <v>62</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63</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64</v>
      </c>
      <c r="F58" s="979" t="s">
        <v>65</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7"/>
      <c r="G59" s="470"/>
      <c r="I59" s="472"/>
      <c r="J59" s="810"/>
      <c r="P59" s="473"/>
      <c r="Q59" s="471">
        <v>0</v>
      </c>
    </row>
    <row r="60" spans="1:17" s="1563" customFormat="1" ht="15" hidden="1" customHeight="1">
      <c r="A60" s="718"/>
      <c r="B60" s="351"/>
      <c r="C60" s="468"/>
      <c r="D60" s="469"/>
      <c r="E60" s="1093" t="s">
        <v>66</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67</v>
      </c>
      <c r="F62" s="1599" t="s">
        <v>65</v>
      </c>
      <c r="G62" s="13"/>
      <c r="H62" s="706" t="s">
        <v>23</v>
      </c>
      <c r="I62" s="349"/>
      <c r="J62" s="808"/>
      <c r="Q62" s="347">
        <v>0</v>
      </c>
    </row>
    <row r="63" spans="1:17" s="1540" customFormat="1" ht="6.4" customHeight="1">
      <c r="A63" s="717"/>
      <c r="B63" s="170"/>
      <c r="C63" s="171"/>
      <c r="D63" s="177"/>
      <c r="E63" s="175"/>
      <c r="F63" s="178"/>
      <c r="G63" s="17"/>
      <c r="H63" s="347"/>
      <c r="I63" s="349"/>
      <c r="J63" s="806"/>
      <c r="Q63" s="174">
        <v>6</v>
      </c>
    </row>
    <row r="64" spans="1:17" ht="21" customHeight="1">
      <c r="B64" s="39"/>
      <c r="D64" s="22"/>
      <c r="E64" s="329" t="s">
        <v>68</v>
      </c>
      <c r="F64" s="154" t="s">
        <v>69</v>
      </c>
      <c r="G64" s="17"/>
      <c r="Q64" s="14">
        <v>20</v>
      </c>
    </row>
    <row r="65" spans="1:17" ht="21" customHeight="1">
      <c r="B65" s="39"/>
      <c r="D65" s="22"/>
      <c r="E65" s="329" t="s">
        <v>70</v>
      </c>
      <c r="F65" s="154" t="s">
        <v>71</v>
      </c>
      <c r="G65" s="17"/>
      <c r="Q65" s="14">
        <v>20</v>
      </c>
    </row>
    <row r="66" spans="1:17" ht="36.75" customHeight="1">
      <c r="D66" s="15"/>
      <c r="E66" s="331" t="s">
        <v>72</v>
      </c>
      <c r="F66" s="985"/>
      <c r="G66" s="13"/>
      <c r="Q66" s="14">
        <v>35</v>
      </c>
    </row>
    <row r="67" spans="1:17" ht="21" customHeight="1">
      <c r="D67" s="348"/>
      <c r="E67" s="329" t="s">
        <v>73</v>
      </c>
      <c r="F67" s="209" t="s">
        <v>74</v>
      </c>
      <c r="G67" s="17"/>
      <c r="Q67" s="14">
        <v>20</v>
      </c>
    </row>
    <row r="68" spans="1:17" ht="21" customHeight="1">
      <c r="B68" s="39"/>
      <c r="D68" s="22"/>
      <c r="E68" s="329" t="s">
        <v>75</v>
      </c>
      <c r="F68" s="209" t="s">
        <v>76</v>
      </c>
      <c r="G68" s="17"/>
      <c r="Q68" s="14">
        <v>20</v>
      </c>
    </row>
    <row r="69" spans="1:17" ht="21" customHeight="1">
      <c r="B69" s="39"/>
      <c r="D69" s="22"/>
      <c r="E69" s="329" t="s">
        <v>77</v>
      </c>
      <c r="F69" s="209" t="s">
        <v>78</v>
      </c>
      <c r="G69" s="17"/>
      <c r="Q69" s="14">
        <v>20</v>
      </c>
    </row>
    <row r="70" spans="1:17" ht="21" customHeight="1">
      <c r="D70" s="348"/>
      <c r="E70" s="329" t="s">
        <v>79</v>
      </c>
      <c r="F70" s="2029" t="s">
        <v>80</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8"/>
      <c r="F78" s="328"/>
      <c r="G78" s="328"/>
      <c r="H78" s="328"/>
      <c r="I78" s="328"/>
      <c r="Q78" s="14">
        <v>11</v>
      </c>
    </row>
    <row r="79" spans="1:17" ht="11.25" hidden="1" customHeight="1">
      <c r="A79" s="716" t="s">
        <v>81</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109375" style="1563" hidden="1" customWidth="1"/>
    <col min="7" max="7" width="46.7109375" style="1563" customWidth="1"/>
    <col min="8" max="8" width="42" style="1563" customWidth="1"/>
    <col min="9" max="9" width="14" style="1563" customWidth="1"/>
    <col min="10" max="10" width="3" style="1552" customWidth="1"/>
    <col min="11" max="13" width="9.140625" style="1552" hidden="1"/>
    <col min="14" max="14" width="25.7109375" style="1552" hidden="1" customWidth="1"/>
    <col min="15" max="15" width="14.42578125" style="1552" hidden="1" customWidth="1"/>
    <col min="16" max="19" width="9.140625" style="163" hidden="1"/>
    <col min="20" max="27" width="9.140625" style="1563" hidden="1"/>
    <col min="28" max="28" width="8" style="1563" customWidth="1"/>
    <col min="29" max="29" width="9.140625" style="1563" hidden="1"/>
  </cols>
  <sheetData>
    <row r="1" spans="1:29" s="1570" customFormat="1" ht="5.25" hidden="1" customHeight="1">
      <c r="A1" s="434"/>
      <c r="B1" s="449"/>
      <c r="C1" s="449"/>
      <c r="D1" s="159"/>
      <c r="F1" s="449"/>
      <c r="G1" s="185" t="s">
        <v>82</v>
      </c>
      <c r="H1" s="432" t="s">
        <v>83</v>
      </c>
      <c r="I1" s="165" t="s">
        <v>84</v>
      </c>
      <c r="J1" s="185" t="s">
        <v>82</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4" customHeight="1">
      <c r="A4" s="694"/>
      <c r="B4" s="355"/>
      <c r="C4" s="694"/>
      <c r="D4" s="102"/>
      <c r="E4" s="2052" t="str">
        <f>NameTemplatesInListMO</f>
        <v>Перечень муниципальных районов и муниципальных образований (территорий действия тарифа)</v>
      </c>
      <c r="F4" s="2052"/>
      <c r="G4" s="2052"/>
      <c r="H4" s="2052"/>
      <c r="I4" s="2052"/>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65" customHeight="1">
      <c r="A8" s="694"/>
      <c r="B8" s="355"/>
      <c r="C8" s="694"/>
      <c r="D8" s="102"/>
      <c r="E8" s="2048" t="s">
        <v>85</v>
      </c>
      <c r="F8" s="2053"/>
      <c r="G8" s="2047"/>
      <c r="H8" s="2054" t="s">
        <v>86</v>
      </c>
      <c r="I8" s="2054"/>
      <c r="J8" s="93"/>
      <c r="K8" s="93"/>
      <c r="L8" s="93"/>
      <c r="M8" s="93"/>
      <c r="N8" s="164"/>
      <c r="O8" s="93"/>
      <c r="P8" s="163"/>
      <c r="Q8" s="163"/>
      <c r="R8" s="163"/>
      <c r="S8" s="163"/>
      <c r="AC8" s="56">
        <v>14</v>
      </c>
    </row>
    <row r="9" spans="1:29" s="1746" customFormat="1" ht="21" customHeight="1">
      <c r="A9" s="694"/>
      <c r="B9" s="355"/>
      <c r="C9" s="694"/>
      <c r="D9" s="102"/>
      <c r="E9" s="710" t="s">
        <v>87</v>
      </c>
      <c r="F9" s="710"/>
      <c r="G9" s="110" t="s">
        <v>88</v>
      </c>
      <c r="H9" s="110" t="s">
        <v>88</v>
      </c>
      <c r="I9" s="110" t="s">
        <v>84</v>
      </c>
      <c r="J9" s="93"/>
      <c r="K9" s="93"/>
      <c r="L9" s="93"/>
      <c r="M9" s="93"/>
      <c r="N9" s="164"/>
      <c r="O9" s="93"/>
      <c r="P9" s="163"/>
      <c r="Q9" s="163"/>
      <c r="R9" s="163"/>
      <c r="S9" s="163"/>
      <c r="AC9" s="56">
        <v>20</v>
      </c>
    </row>
    <row r="10" spans="1:29" ht="11.45" customHeight="1">
      <c r="D10" s="114"/>
      <c r="E10" s="711" t="s">
        <v>89</v>
      </c>
      <c r="F10" s="711"/>
      <c r="G10" s="161" t="s">
        <v>90</v>
      </c>
      <c r="H10" s="161" t="s">
        <v>91</v>
      </c>
      <c r="I10" s="161" t="s">
        <v>92</v>
      </c>
      <c r="J10" s="124"/>
      <c r="K10" s="124"/>
      <c r="L10" s="124"/>
      <c r="M10" s="124"/>
      <c r="N10" s="109"/>
      <c r="O10" s="124"/>
      <c r="P10" s="162"/>
      <c r="Q10" s="162"/>
      <c r="R10" s="162"/>
      <c r="S10" s="162"/>
      <c r="AC10" s="23">
        <v>11</v>
      </c>
    </row>
    <row r="11" spans="1:29" s="1746" customFormat="1" ht="1.1499999999999999" customHeight="1">
      <c r="A11" s="694"/>
      <c r="B11" s="355"/>
      <c r="C11" s="694"/>
      <c r="D11" s="102"/>
      <c r="E11" s="722"/>
      <c r="F11" s="722"/>
      <c r="G11" s="111"/>
      <c r="H11" s="111"/>
      <c r="I11" s="113"/>
      <c r="J11" s="187" t="s">
        <v>93</v>
      </c>
      <c r="K11" s="93"/>
      <c r="L11" s="93"/>
      <c r="M11" s="93" t="s">
        <v>94</v>
      </c>
      <c r="N11" s="164" t="s">
        <v>95</v>
      </c>
      <c r="O11" s="93" t="s">
        <v>96</v>
      </c>
      <c r="P11" s="163"/>
      <c r="Q11" s="163"/>
      <c r="R11" s="163"/>
      <c r="S11" s="163"/>
      <c r="AC11" s="56">
        <v>1</v>
      </c>
    </row>
    <row r="12" spans="1:29" s="1746" customFormat="1" ht="15" customHeight="1">
      <c r="A12" s="2051">
        <v>1</v>
      </c>
      <c r="B12" s="355"/>
      <c r="C12" s="694"/>
      <c r="D12" s="714"/>
      <c r="E12" s="157">
        <f>A12</f>
        <v>1</v>
      </c>
      <c r="F12" s="734" t="s">
        <v>97</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051"/>
      <c r="B13" s="355">
        <v>1</v>
      </c>
      <c r="C13" s="355"/>
      <c r="D13" s="732"/>
      <c r="E13" s="713" t="str">
        <f>A12&amp;"."&amp;B13</f>
        <v>1.1</v>
      </c>
      <c r="F13" s="727" t="s">
        <v>98</v>
      </c>
      <c r="G13" s="725" t="s">
        <v>99</v>
      </c>
      <c r="H13" s="725" t="s">
        <v>99</v>
      </c>
      <c r="I13" s="723" t="s">
        <v>100</v>
      </c>
      <c r="J13" s="438" t="e">
        <f ca="1">MERGEVALUE(G13)</f>
        <v>#NAME?</v>
      </c>
      <c r="K13" s="449"/>
      <c r="L13" s="449"/>
      <c r="M13" s="438" t="str">
        <f t="array" ref="M13">IF(ISERROR(MATCH(MID(N13,1,250),MID(note_ter,1,250),0)),"n","y")</f>
        <v>n</v>
      </c>
      <c r="N13" s="449"/>
      <c r="O13" s="438" t="str">
        <f>H13&amp;"("&amp;I13&amp;")"</f>
        <v>город Нижний Новгород(22701000)</v>
      </c>
      <c r="P13" s="355"/>
      <c r="Q13" s="355"/>
      <c r="R13" s="358"/>
      <c r="S13" s="355"/>
      <c r="T13" s="355"/>
      <c r="U13" s="355"/>
      <c r="V13" s="360"/>
      <c r="W13" s="360"/>
      <c r="X13" s="357"/>
      <c r="Y13" s="357"/>
      <c r="Z13" s="357"/>
      <c r="AA13" s="357"/>
      <c r="AB13" s="357"/>
      <c r="AC13" s="361">
        <v>15</v>
      </c>
    </row>
    <row r="14" spans="1:29" s="1776" customFormat="1" ht="15.75" customHeight="1">
      <c r="A14" s="2051"/>
      <c r="B14" s="355"/>
      <c r="C14" s="350"/>
      <c r="D14" s="733"/>
      <c r="E14" s="359"/>
      <c r="F14" s="115"/>
      <c r="G14" s="353" t="s">
        <v>101</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6" customFormat="1" ht="14.65" customHeight="1">
      <c r="A15" s="694"/>
      <c r="B15" s="355"/>
      <c r="C15" s="694"/>
      <c r="D15" s="714"/>
      <c r="E15" s="726"/>
      <c r="F15" s="116"/>
      <c r="G15" s="354" t="s">
        <v>102</v>
      </c>
      <c r="H15" s="116"/>
      <c r="I15" s="117"/>
      <c r="J15" s="187"/>
      <c r="K15" s="93"/>
      <c r="L15" s="93"/>
      <c r="M15" s="93"/>
      <c r="N15" s="164" t="s">
        <v>103</v>
      </c>
      <c r="O15" s="93"/>
      <c r="P15" s="163"/>
      <c r="Q15" s="163"/>
      <c r="R15" s="163"/>
      <c r="S15" s="163"/>
      <c r="AC15" s="56">
        <v>14</v>
      </c>
    </row>
    <row r="16" spans="1:29" s="1746" customFormat="1" ht="21.9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6" customFormat="1" ht="14.65" customHeight="1">
      <c r="A17" s="694"/>
      <c r="B17" s="355"/>
      <c r="C17" s="694"/>
      <c r="D17" s="103"/>
      <c r="E17" s="23"/>
      <c r="F17" s="694"/>
      <c r="G17" s="23"/>
      <c r="H17" s="23"/>
      <c r="I17" s="23"/>
      <c r="J17" s="93"/>
      <c r="K17" s="93"/>
      <c r="L17" s="93"/>
      <c r="M17" s="93"/>
      <c r="N17" s="164"/>
      <c r="O17" s="93"/>
      <c r="P17" s="163"/>
      <c r="Q17" s="163"/>
      <c r="R17" s="163"/>
      <c r="S17" s="163"/>
      <c r="AC17" s="56">
        <v>14</v>
      </c>
    </row>
    <row r="18" spans="1:29" s="1746" customFormat="1" ht="1.1499999999999999"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4" t="s">
        <v>81</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40625" style="1552" hidden="1"/>
    <col min="21" max="24" width="9.140625" style="1194" hidden="1"/>
    <col min="25" max="37" width="9.140625" style="1298" hidden="1"/>
    <col min="38" max="38" width="8" style="1298" customWidth="1"/>
    <col min="39" max="39" width="9.140625" style="1779" hidden="1"/>
  </cols>
  <sheetData>
    <row r="1" spans="1:39" ht="11.25" hidden="1" customHeight="1">
      <c r="AM1" s="521" t="s">
        <v>14</v>
      </c>
    </row>
    <row r="2" spans="1:39" ht="11.25" hidden="1" customHeight="1">
      <c r="AM2" s="521">
        <v>0</v>
      </c>
    </row>
    <row r="3" spans="1:39" ht="11.45" customHeight="1">
      <c r="AM3" s="521">
        <v>11</v>
      </c>
    </row>
    <row r="4" spans="1:39" ht="35.65" customHeight="1">
      <c r="A4" s="523"/>
      <c r="B4" s="523"/>
      <c r="D4" s="2059"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60"/>
      <c r="F4" s="2060"/>
      <c r="G4" s="2060"/>
      <c r="H4" s="2060"/>
      <c r="I4" s="2061"/>
      <c r="J4" s="522"/>
      <c r="K4" s="522"/>
      <c r="L4" s="522"/>
      <c r="M4" s="522"/>
      <c r="AM4" s="521">
        <v>34</v>
      </c>
    </row>
    <row r="5" spans="1:39" s="527" customFormat="1" ht="14.65" customHeight="1">
      <c r="A5" s="523"/>
      <c r="B5" s="523"/>
      <c r="C5" s="523"/>
      <c r="D5" s="2062" t="str">
        <f>IF(org=0,"Не определено",org)</f>
        <v>ООО "Профит"</v>
      </c>
      <c r="E5" s="2063"/>
      <c r="F5" s="2063"/>
      <c r="G5" s="2063"/>
      <c r="H5" s="2063"/>
      <c r="I5" s="2064"/>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4" customHeight="1">
      <c r="A6" s="2051"/>
      <c r="B6" s="2051"/>
      <c r="C6" s="2051"/>
      <c r="D6" s="2051"/>
      <c r="E6" s="2051"/>
      <c r="F6" s="2051"/>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06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0"/>
      <c r="G7" s="2070"/>
      <c r="H7" s="2070"/>
      <c r="I7" s="2070"/>
      <c r="J7" s="2070"/>
      <c r="K7" s="2070"/>
      <c r="L7" s="2070"/>
      <c r="M7" s="2070"/>
      <c r="AM7" s="521">
        <v>0</v>
      </c>
    </row>
    <row r="8" spans="1:39" s="527" customFormat="1" ht="6.4"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065"/>
      <c r="B9" s="261"/>
      <c r="C9" s="261"/>
      <c r="D9" s="2066" t="s">
        <v>104</v>
      </c>
      <c r="E9" s="2066"/>
      <c r="F9" s="2067" t="s">
        <v>105</v>
      </c>
      <c r="G9" s="2068"/>
      <c r="H9" s="2068"/>
      <c r="I9" s="2068"/>
      <c r="J9" s="2071" t="s">
        <v>106</v>
      </c>
      <c r="K9" s="2071"/>
      <c r="L9" s="2071"/>
      <c r="M9" s="2071"/>
      <c r="AM9" s="521">
        <v>18</v>
      </c>
    </row>
    <row r="10" spans="1:39" ht="24" customHeight="1">
      <c r="A10" s="2065"/>
      <c r="B10" s="530"/>
      <c r="C10" s="463"/>
      <c r="D10" s="461" t="s">
        <v>87</v>
      </c>
      <c r="E10" s="461" t="s">
        <v>88</v>
      </c>
      <c r="F10" s="461" t="s">
        <v>107</v>
      </c>
      <c r="G10" s="2072" t="s">
        <v>87</v>
      </c>
      <c r="H10" s="2073"/>
      <c r="I10" s="461" t="s">
        <v>88</v>
      </c>
      <c r="J10" s="461" t="s">
        <v>107</v>
      </c>
      <c r="K10" s="2072" t="s">
        <v>87</v>
      </c>
      <c r="L10" s="2073"/>
      <c r="M10" s="461" t="s">
        <v>88</v>
      </c>
      <c r="N10" s="1555"/>
      <c r="AM10" s="521">
        <v>23</v>
      </c>
    </row>
    <row r="11" spans="1:39" s="1779" customFormat="1" ht="11.25" hidden="1" customHeight="1">
      <c r="A11" s="531"/>
      <c r="B11" s="531"/>
      <c r="C11" s="531"/>
      <c r="D11" s="532" t="s">
        <v>108</v>
      </c>
      <c r="E11" s="532" t="s">
        <v>109</v>
      </c>
      <c r="F11" s="532" t="s">
        <v>89</v>
      </c>
      <c r="G11" s="2055" t="s">
        <v>90</v>
      </c>
      <c r="H11" s="2056"/>
      <c r="I11" s="532" t="s">
        <v>110</v>
      </c>
      <c r="J11" s="532" t="s">
        <v>91</v>
      </c>
      <c r="K11" s="2057" t="s">
        <v>92</v>
      </c>
      <c r="L11" s="2058"/>
      <c r="M11" s="532" t="s">
        <v>111</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1499999999999999" customHeight="1">
      <c r="A12" s="535"/>
      <c r="B12" s="536"/>
      <c r="C12" s="536"/>
      <c r="D12" s="537"/>
      <c r="E12" s="305"/>
      <c r="F12" s="538"/>
      <c r="G12" s="990"/>
      <c r="H12" s="990"/>
      <c r="I12" s="538"/>
      <c r="J12" s="538"/>
      <c r="K12" s="112"/>
      <c r="L12" s="305"/>
      <c r="M12" s="539"/>
      <c r="N12" s="1555"/>
      <c r="O12" s="1341" t="s">
        <v>112</v>
      </c>
      <c r="P12" s="1341" t="s">
        <v>113</v>
      </c>
      <c r="Q12" s="1341" t="s">
        <v>114</v>
      </c>
      <c r="R12" s="1341" t="s">
        <v>115</v>
      </c>
      <c r="AM12" s="521">
        <v>1</v>
      </c>
    </row>
    <row r="13" spans="1:39" s="1779" customFormat="1" ht="15.75" customHeight="1">
      <c r="A13" s="231"/>
      <c r="B13" s="231"/>
      <c r="C13" s="464"/>
      <c r="D13" s="2077" t="s">
        <v>108</v>
      </c>
      <c r="E13" s="2078" t="str">
        <f>INDEX(VD_NAME_LIST,MATCH("4189674",VD_ID_LIST,0))</f>
        <v>Транспортировка. Питьевая вода</v>
      </c>
      <c r="F13" s="2081" t="s">
        <v>65</v>
      </c>
      <c r="G13" s="2082"/>
      <c r="H13" s="2083">
        <v>1</v>
      </c>
      <c r="I13" s="2074" t="str">
        <f>IF(U13="","",INDEX(TERRITORY_MR_LIST,MATCH(U13,TERRITORY_LIST_ID,0)))</f>
        <v>Территория 1</v>
      </c>
      <c r="J13" s="2076" t="s">
        <v>19</v>
      </c>
      <c r="K13" s="540"/>
      <c r="L13" s="465" t="s">
        <v>108</v>
      </c>
      <c r="M13" s="541" t="s">
        <v>22</v>
      </c>
      <c r="N13" s="744"/>
      <c r="O13" s="1344" t="s">
        <v>116</v>
      </c>
      <c r="P13" s="1341" t="str">
        <f>$E$13</f>
        <v>Транспортировка. Питьевая вода</v>
      </c>
      <c r="Q13" s="1341" t="str">
        <f>IF($F$13="нет","без дифференциации",$I$13)</f>
        <v>Территория 1</v>
      </c>
      <c r="R13" s="1341" t="str">
        <f>IF($J$13="нет","без дифференциации",M13)</f>
        <v>без дифференциации</v>
      </c>
      <c r="S13" s="1344"/>
      <c r="T13" s="1344"/>
      <c r="U13" s="1194" t="s">
        <v>97</v>
      </c>
      <c r="V13" s="1194" t="s">
        <v>117</v>
      </c>
      <c r="W13" s="1194"/>
      <c r="X13" s="1194"/>
      <c r="Y13" s="542" t="s">
        <v>118</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077"/>
      <c r="E14" s="2079"/>
      <c r="F14" s="2076"/>
      <c r="G14" s="2082"/>
      <c r="H14" s="2083"/>
      <c r="I14" s="2075"/>
      <c r="J14" s="2076"/>
      <c r="K14" s="359"/>
      <c r="L14" s="115"/>
      <c r="M14" s="545" t="s">
        <v>119</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077"/>
      <c r="E15" s="2080"/>
      <c r="F15" s="2076"/>
      <c r="G15" s="991"/>
      <c r="H15" s="992"/>
      <c r="I15" s="518" t="s">
        <v>120</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121</v>
      </c>
      <c r="F16" s="115"/>
      <c r="G16" s="115"/>
      <c r="H16" s="115"/>
      <c r="I16" s="115"/>
      <c r="J16" s="115"/>
      <c r="K16" s="115" t="s">
        <v>22</v>
      </c>
      <c r="L16" s="115"/>
      <c r="M16" s="546"/>
      <c r="N16" s="1555"/>
      <c r="AM16" s="521">
        <v>15</v>
      </c>
    </row>
    <row r="17" spans="1:39" ht="11.25" hidden="1" customHeight="1">
      <c r="A17" s="521" t="s">
        <v>81</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2"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4" hidden="1" customWidth="1"/>
    <col min="29" max="29" width="27" style="1194" hidden="1" customWidth="1"/>
    <col min="30" max="30" width="10.5703125" style="1194" hidden="1" customWidth="1"/>
    <col min="31" max="31" width="10.7109375" style="1194" hidden="1" customWidth="1"/>
    <col min="32" max="32" width="10" style="1194" hidden="1" customWidth="1"/>
    <col min="33" max="33" width="12.85546875" style="1194" hidden="1" customWidth="1"/>
    <col min="34" max="34" width="24.42578125" style="1194" hidden="1" customWidth="1"/>
    <col min="35" max="35" width="15.85546875" style="1194" hidden="1" customWidth="1"/>
    <col min="36" max="36" width="19.42578125" style="1194" hidden="1" customWidth="1"/>
    <col min="37" max="37" width="11" style="1194" hidden="1" customWidth="1"/>
    <col min="38" max="38" width="23.5703125" style="1194" hidden="1" customWidth="1"/>
    <col min="39" max="39" width="23.85546875" style="1194" hidden="1" customWidth="1"/>
    <col min="40" max="40" width="25.28515625" style="1194" hidden="1" customWidth="1"/>
    <col min="41" max="41" width="16.85546875" style="1194" hidden="1" customWidth="1"/>
    <col min="42" max="42" width="29.5703125" style="1194" hidden="1" customWidth="1"/>
    <col min="43" max="43" width="29.85546875" style="1194" hidden="1" customWidth="1"/>
    <col min="44" max="44" width="9.1406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 customHeight="1">
      <c r="A5" s="92"/>
      <c r="B5" s="92"/>
      <c r="D5" s="211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17"/>
      <c r="F5" s="2117"/>
      <c r="G5" s="2117"/>
      <c r="H5" s="2117"/>
      <c r="I5" s="2117"/>
      <c r="J5" s="2118"/>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65" customHeight="1">
      <c r="A6" s="523"/>
      <c r="B6" s="523"/>
      <c r="C6" s="523"/>
      <c r="D6" s="2122" t="str">
        <f>IF(org=0,"Не определено",org)</f>
        <v>ООО "Профит"</v>
      </c>
      <c r="E6" s="2122"/>
      <c r="F6" s="2122"/>
      <c r="G6" s="2122"/>
      <c r="H6" s="2122"/>
      <c r="I6" s="2122"/>
      <c r="J6" s="2122"/>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45" customHeight="1">
      <c r="A7" s="149"/>
      <c r="B7" s="149"/>
      <c r="D7" s="2119"/>
      <c r="E7" s="2120"/>
      <c r="F7" s="2120"/>
      <c r="G7" s="2120"/>
      <c r="H7" s="2120"/>
      <c r="I7" s="2120"/>
      <c r="J7" s="2121"/>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066" t="s">
        <v>87</v>
      </c>
      <c r="E9" s="2048" t="s">
        <v>122</v>
      </c>
      <c r="F9" s="2047"/>
      <c r="G9" s="2066" t="s">
        <v>104</v>
      </c>
      <c r="H9" s="2066" t="s">
        <v>87</v>
      </c>
      <c r="I9" s="2066"/>
      <c r="J9" s="2066" t="s">
        <v>123</v>
      </c>
      <c r="K9" s="2123" t="s">
        <v>124</v>
      </c>
      <c r="L9" s="2123"/>
      <c r="M9" s="2123"/>
      <c r="N9" s="2123"/>
      <c r="O9" s="2123" t="s">
        <v>125</v>
      </c>
      <c r="P9" s="2123"/>
      <c r="Q9" s="2123"/>
      <c r="R9" s="2123"/>
      <c r="S9" s="2123" t="s">
        <v>126</v>
      </c>
      <c r="T9" s="2123"/>
      <c r="U9" s="2123"/>
      <c r="V9" s="2123"/>
      <c r="W9" s="2066" t="s">
        <v>127</v>
      </c>
      <c r="AR9" s="44">
        <v>27</v>
      </c>
    </row>
    <row r="10" spans="1:44" ht="31.5" customHeight="1">
      <c r="D10" s="2066"/>
      <c r="E10" s="1212" t="s">
        <v>88</v>
      </c>
      <c r="F10" s="1212" t="s">
        <v>128</v>
      </c>
      <c r="G10" s="2066"/>
      <c r="H10" s="2066"/>
      <c r="I10" s="2066"/>
      <c r="J10" s="2066"/>
      <c r="K10" s="50" t="s">
        <v>107</v>
      </c>
      <c r="L10" s="2066" t="s">
        <v>87</v>
      </c>
      <c r="M10" s="2066"/>
      <c r="N10" s="50" t="s">
        <v>129</v>
      </c>
      <c r="O10" s="50" t="s">
        <v>107</v>
      </c>
      <c r="P10" s="2066" t="s">
        <v>87</v>
      </c>
      <c r="Q10" s="2066"/>
      <c r="R10" s="50" t="s">
        <v>129</v>
      </c>
      <c r="S10" s="221" t="s">
        <v>107</v>
      </c>
      <c r="T10" s="2066" t="s">
        <v>87</v>
      </c>
      <c r="U10" s="2066"/>
      <c r="V10" s="221" t="s">
        <v>88</v>
      </c>
      <c r="W10" s="2066"/>
      <c r="Z10" s="1187" t="s">
        <v>130</v>
      </c>
      <c r="AA10" s="1187" t="s">
        <v>131</v>
      </c>
      <c r="AB10" s="1187" t="s">
        <v>132</v>
      </c>
      <c r="AC10" s="1187" t="s">
        <v>133</v>
      </c>
      <c r="AD10" s="1187" t="s">
        <v>134</v>
      </c>
      <c r="AE10" s="1187" t="s">
        <v>135</v>
      </c>
      <c r="AF10" s="1187" t="s">
        <v>136</v>
      </c>
      <c r="AG10" s="1187" t="s">
        <v>137</v>
      </c>
      <c r="AH10" s="1187" t="s">
        <v>138</v>
      </c>
      <c r="AI10" s="1187" t="s">
        <v>139</v>
      </c>
      <c r="AJ10" s="1187" t="s">
        <v>140</v>
      </c>
      <c r="AK10" s="1187" t="s">
        <v>141</v>
      </c>
      <c r="AL10" s="1187" t="s">
        <v>142</v>
      </c>
      <c r="AM10" s="1187" t="s">
        <v>143</v>
      </c>
      <c r="AN10" s="1187" t="s">
        <v>144</v>
      </c>
      <c r="AO10" s="1187" t="s">
        <v>145</v>
      </c>
      <c r="AP10" s="1187" t="s">
        <v>146</v>
      </c>
      <c r="AQ10" s="1187" t="s">
        <v>147</v>
      </c>
      <c r="AR10" s="44">
        <v>30</v>
      </c>
    </row>
    <row r="11" spans="1:44" s="1552" customFormat="1" ht="12" hidden="1" customHeight="1">
      <c r="D11" s="1177" t="s">
        <v>108</v>
      </c>
      <c r="E11" s="1177" t="s">
        <v>109</v>
      </c>
      <c r="F11" s="1177"/>
      <c r="G11" s="1177" t="s">
        <v>89</v>
      </c>
      <c r="H11" s="2115" t="s">
        <v>110</v>
      </c>
      <c r="I11" s="2115"/>
      <c r="J11" s="1177" t="s">
        <v>91</v>
      </c>
      <c r="K11" s="1177" t="s">
        <v>92</v>
      </c>
      <c r="L11" s="2115" t="s">
        <v>111</v>
      </c>
      <c r="M11" s="2115"/>
      <c r="N11" s="1177" t="s">
        <v>148</v>
      </c>
      <c r="O11" s="1177" t="s">
        <v>149</v>
      </c>
      <c r="P11" s="2115" t="s">
        <v>150</v>
      </c>
      <c r="Q11" s="2115"/>
      <c r="R11" s="1177" t="s">
        <v>151</v>
      </c>
      <c r="S11" s="1177" t="s">
        <v>150</v>
      </c>
      <c r="T11" s="2115" t="s">
        <v>151</v>
      </c>
      <c r="U11" s="2115"/>
      <c r="V11" s="1177" t="s">
        <v>152</v>
      </c>
      <c r="W11" s="1177" t="s">
        <v>153</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099">
        <v>1</v>
      </c>
      <c r="E13" s="2088" t="s">
        <v>154</v>
      </c>
      <c r="F13" s="2101" t="s">
        <v>19</v>
      </c>
      <c r="G13" s="2088"/>
      <c r="H13" s="2090"/>
      <c r="I13" s="2092"/>
      <c r="J13" s="2094"/>
      <c r="K13" s="2086"/>
      <c r="L13" s="2086"/>
      <c r="M13" s="2086"/>
      <c r="N13" s="2097"/>
      <c r="O13" s="2086"/>
      <c r="P13" s="2086"/>
      <c r="Q13" s="2086"/>
      <c r="R13" s="2084"/>
      <c r="S13" s="2086"/>
      <c r="T13" s="1348"/>
      <c r="U13" s="1348"/>
      <c r="V13" s="1347"/>
      <c r="W13" s="1224"/>
      <c r="Y13" s="1195"/>
      <c r="Z13" s="1195"/>
      <c r="AA13" s="1195"/>
      <c r="AB13" s="1195"/>
      <c r="AC13" s="1195" t="s">
        <v>155</v>
      </c>
      <c r="AD13" s="1195" t="s">
        <v>156</v>
      </c>
      <c r="AE13" s="1195" t="s">
        <v>157</v>
      </c>
      <c r="AF13" s="1195" t="s">
        <v>158</v>
      </c>
      <c r="AG13" s="1195" t="s">
        <v>159</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099"/>
      <c r="E14" s="2088"/>
      <c r="F14" s="2102"/>
      <c r="G14" s="2088"/>
      <c r="H14" s="2091"/>
      <c r="I14" s="2093"/>
      <c r="J14" s="2095"/>
      <c r="K14" s="2087"/>
      <c r="L14" s="2087"/>
      <c r="M14" s="2087"/>
      <c r="N14" s="2098"/>
      <c r="O14" s="2087"/>
      <c r="P14" s="2087"/>
      <c r="Q14" s="2087"/>
      <c r="R14" s="2085"/>
      <c r="S14" s="2087"/>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099"/>
      <c r="E15" s="2088"/>
      <c r="F15" s="2102"/>
      <c r="G15" s="2088"/>
      <c r="H15" s="2091"/>
      <c r="I15" s="2093"/>
      <c r="J15" s="2096"/>
      <c r="K15" s="2087"/>
      <c r="L15" s="2087"/>
      <c r="M15" s="2087"/>
      <c r="N15" s="2085"/>
      <c r="O15" s="2087"/>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099"/>
      <c r="E16" s="2088"/>
      <c r="F16" s="2102"/>
      <c r="G16" s="2088"/>
      <c r="H16" s="2091"/>
      <c r="I16" s="2093"/>
      <c r="J16" s="2096"/>
      <c r="K16" s="2087"/>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100"/>
      <c r="E17" s="2089"/>
      <c r="F17" s="2103"/>
      <c r="G17" s="2089"/>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099">
        <v>2</v>
      </c>
      <c r="E18" s="2113"/>
      <c r="F18" s="2101" t="s">
        <v>19</v>
      </c>
      <c r="G18" s="2088"/>
      <c r="H18" s="2090"/>
      <c r="I18" s="2092"/>
      <c r="J18" s="2094"/>
      <c r="K18" s="2086"/>
      <c r="L18" s="2086"/>
      <c r="M18" s="2086"/>
      <c r="N18" s="2097"/>
      <c r="O18" s="2086"/>
      <c r="P18" s="2086"/>
      <c r="Q18" s="2086"/>
      <c r="R18" s="2084"/>
      <c r="S18" s="2086"/>
      <c r="T18" s="1348"/>
      <c r="U18" s="1348"/>
      <c r="V18" s="1347"/>
      <c r="W18" s="1224"/>
      <c r="X18" s="1195"/>
      <c r="Y18" s="1195"/>
      <c r="Z18" s="1195"/>
      <c r="AA18" s="1195"/>
      <c r="AB18" s="1195"/>
      <c r="AC18" s="1195" t="s">
        <v>160</v>
      </c>
      <c r="AD18" s="1195" t="s">
        <v>161</v>
      </c>
      <c r="AE18" s="1195" t="s">
        <v>162</v>
      </c>
      <c r="AF18" s="1195" t="s">
        <v>163</v>
      </c>
      <c r="AG18" s="1195" t="s">
        <v>164</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099"/>
      <c r="E19" s="2113"/>
      <c r="F19" s="2102"/>
      <c r="G19" s="2088"/>
      <c r="H19" s="2091"/>
      <c r="I19" s="2093"/>
      <c r="J19" s="2095"/>
      <c r="K19" s="2087"/>
      <c r="L19" s="2087"/>
      <c r="M19" s="2087"/>
      <c r="N19" s="2098"/>
      <c r="O19" s="2087"/>
      <c r="P19" s="2087"/>
      <c r="Q19" s="2087"/>
      <c r="R19" s="2085"/>
      <c r="S19" s="2087"/>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100"/>
      <c r="E20" s="2114"/>
      <c r="F20" s="2102"/>
      <c r="G20" s="2089"/>
      <c r="H20" s="2091"/>
      <c r="I20" s="2093"/>
      <c r="J20" s="2096"/>
      <c r="K20" s="2087"/>
      <c r="L20" s="2087"/>
      <c r="M20" s="2087"/>
      <c r="N20" s="2085"/>
      <c r="O20" s="2087"/>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100"/>
      <c r="E21" s="2114"/>
      <c r="F21" s="2102"/>
      <c r="G21" s="2089"/>
      <c r="H21" s="2091"/>
      <c r="I21" s="2093"/>
      <c r="J21" s="2096"/>
      <c r="K21" s="2087"/>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100"/>
      <c r="E22" s="2114"/>
      <c r="F22" s="2103"/>
      <c r="G22" s="2089"/>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099">
        <v>2</v>
      </c>
      <c r="E23" s="2088" t="s">
        <v>165</v>
      </c>
      <c r="F23" s="2101" t="s">
        <v>19</v>
      </c>
      <c r="G23" s="2088"/>
      <c r="H23" s="2090"/>
      <c r="I23" s="2092"/>
      <c r="J23" s="2094"/>
      <c r="K23" s="2086"/>
      <c r="L23" s="2086"/>
      <c r="M23" s="2086"/>
      <c r="N23" s="2097"/>
      <c r="O23" s="2086"/>
      <c r="P23" s="2086"/>
      <c r="Q23" s="2086"/>
      <c r="R23" s="2084"/>
      <c r="S23" s="2086"/>
      <c r="T23" s="1921"/>
      <c r="U23" s="1921"/>
      <c r="V23" s="1923"/>
      <c r="W23" s="1224"/>
      <c r="X23" s="1195"/>
      <c r="Y23" s="1195"/>
      <c r="Z23" s="1195"/>
      <c r="AA23" s="1195"/>
      <c r="AB23" s="1195"/>
      <c r="AC23" s="1195" t="s">
        <v>160</v>
      </c>
      <c r="AD23" s="1195" t="s">
        <v>161</v>
      </c>
      <c r="AE23" s="1195" t="s">
        <v>162</v>
      </c>
      <c r="AF23" s="1195" t="s">
        <v>163</v>
      </c>
      <c r="AG23" s="1195" t="s">
        <v>164</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099"/>
      <c r="E24" s="2088"/>
      <c r="F24" s="2102"/>
      <c r="G24" s="2088"/>
      <c r="H24" s="2091"/>
      <c r="I24" s="2093"/>
      <c r="J24" s="2095"/>
      <c r="K24" s="2087"/>
      <c r="L24" s="2087"/>
      <c r="M24" s="2087"/>
      <c r="N24" s="2098"/>
      <c r="O24" s="2087"/>
      <c r="P24" s="2087"/>
      <c r="Q24" s="2087"/>
      <c r="R24" s="2085"/>
      <c r="S24" s="2087"/>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100"/>
      <c r="E25" s="2089"/>
      <c r="F25" s="2102"/>
      <c r="G25" s="2089"/>
      <c r="H25" s="2091"/>
      <c r="I25" s="2093"/>
      <c r="J25" s="2096"/>
      <c r="K25" s="2087"/>
      <c r="L25" s="2087"/>
      <c r="M25" s="2087"/>
      <c r="N25" s="2085"/>
      <c r="O25" s="2087"/>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100"/>
      <c r="E26" s="2089"/>
      <c r="F26" s="2102"/>
      <c r="G26" s="2089"/>
      <c r="H26" s="2091"/>
      <c r="I26" s="2093"/>
      <c r="J26" s="2096"/>
      <c r="K26" s="2087"/>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100"/>
      <c r="E27" s="2089"/>
      <c r="F27" s="2103"/>
      <c r="G27" s="2089"/>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099">
        <v>3</v>
      </c>
      <c r="E28" s="2088" t="s">
        <v>166</v>
      </c>
      <c r="F28" s="2101" t="s">
        <v>19</v>
      </c>
      <c r="G28" s="2088"/>
      <c r="H28" s="2090"/>
      <c r="I28" s="2092"/>
      <c r="J28" s="2094"/>
      <c r="K28" s="2086"/>
      <c r="L28" s="2086"/>
      <c r="M28" s="2086"/>
      <c r="N28" s="2097"/>
      <c r="O28" s="2086"/>
      <c r="P28" s="2086"/>
      <c r="Q28" s="2086"/>
      <c r="R28" s="2084"/>
      <c r="S28" s="2086"/>
      <c r="T28" s="1348"/>
      <c r="U28" s="1348"/>
      <c r="V28" s="1347"/>
      <c r="W28" s="1224"/>
      <c r="X28" s="1195"/>
      <c r="Y28" s="1195"/>
      <c r="Z28" s="1195"/>
      <c r="AA28" s="1195"/>
      <c r="AB28" s="1195"/>
      <c r="AC28" s="1195" t="s">
        <v>167</v>
      </c>
      <c r="AD28" s="1195" t="s">
        <v>168</v>
      </c>
      <c r="AE28" s="1195" t="s">
        <v>169</v>
      </c>
      <c r="AF28" s="1195" t="s">
        <v>170</v>
      </c>
      <c r="AG28" s="1195" t="s">
        <v>171</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099"/>
      <c r="E29" s="2088"/>
      <c r="F29" s="2102"/>
      <c r="G29" s="2088"/>
      <c r="H29" s="2091"/>
      <c r="I29" s="2093"/>
      <c r="J29" s="2095"/>
      <c r="K29" s="2087"/>
      <c r="L29" s="2087"/>
      <c r="M29" s="2087"/>
      <c r="N29" s="2098"/>
      <c r="O29" s="2087"/>
      <c r="P29" s="2087"/>
      <c r="Q29" s="2087"/>
      <c r="R29" s="2085"/>
      <c r="S29" s="2087"/>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100"/>
      <c r="E30" s="2089"/>
      <c r="F30" s="2102"/>
      <c r="G30" s="2089"/>
      <c r="H30" s="2091"/>
      <c r="I30" s="2093"/>
      <c r="J30" s="2096"/>
      <c r="K30" s="2087"/>
      <c r="L30" s="2087"/>
      <c r="M30" s="2087"/>
      <c r="N30" s="2085"/>
      <c r="O30" s="2087"/>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100"/>
      <c r="E31" s="2089"/>
      <c r="F31" s="2102"/>
      <c r="G31" s="2089"/>
      <c r="H31" s="2091"/>
      <c r="I31" s="2093"/>
      <c r="J31" s="2096"/>
      <c r="K31" s="2087"/>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100"/>
      <c r="E32" s="2089"/>
      <c r="F32" s="2103"/>
      <c r="G32" s="2089"/>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099">
        <v>4</v>
      </c>
      <c r="E33" s="2088" t="s">
        <v>172</v>
      </c>
      <c r="F33" s="2101" t="s">
        <v>19</v>
      </c>
      <c r="G33" s="2088"/>
      <c r="H33" s="2090"/>
      <c r="I33" s="2092"/>
      <c r="J33" s="2094"/>
      <c r="K33" s="2086"/>
      <c r="L33" s="2086"/>
      <c r="M33" s="2086"/>
      <c r="N33" s="2097"/>
      <c r="O33" s="2086"/>
      <c r="P33" s="2086"/>
      <c r="Q33" s="2086"/>
      <c r="R33" s="2084"/>
      <c r="S33" s="2086"/>
      <c r="T33" s="1348"/>
      <c r="U33" s="1348"/>
      <c r="V33" s="1347"/>
      <c r="W33" s="1224"/>
      <c r="X33" s="1195"/>
      <c r="Y33" s="1195"/>
      <c r="Z33" s="1195"/>
      <c r="AA33" s="1195"/>
      <c r="AB33" s="1195"/>
      <c r="AC33" s="1195" t="s">
        <v>173</v>
      </c>
      <c r="AD33" s="1195" t="s">
        <v>174</v>
      </c>
      <c r="AE33" s="1195" t="s">
        <v>175</v>
      </c>
      <c r="AF33" s="1195" t="s">
        <v>176</v>
      </c>
      <c r="AG33" s="1195" t="s">
        <v>177</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099"/>
      <c r="E34" s="2088"/>
      <c r="F34" s="2102"/>
      <c r="G34" s="2088"/>
      <c r="H34" s="2091"/>
      <c r="I34" s="2093"/>
      <c r="J34" s="2095"/>
      <c r="K34" s="2087"/>
      <c r="L34" s="2087"/>
      <c r="M34" s="2087"/>
      <c r="N34" s="2098"/>
      <c r="O34" s="2087"/>
      <c r="P34" s="2087"/>
      <c r="Q34" s="2087"/>
      <c r="R34" s="2085"/>
      <c r="S34" s="2087"/>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100"/>
      <c r="E35" s="2089"/>
      <c r="F35" s="2102"/>
      <c r="G35" s="2089"/>
      <c r="H35" s="2091"/>
      <c r="I35" s="2093"/>
      <c r="J35" s="2096"/>
      <c r="K35" s="2087"/>
      <c r="L35" s="2087"/>
      <c r="M35" s="2087"/>
      <c r="N35" s="2085"/>
      <c r="O35" s="2087"/>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100"/>
      <c r="E36" s="2089"/>
      <c r="F36" s="2102"/>
      <c r="G36" s="2089"/>
      <c r="H36" s="2091"/>
      <c r="I36" s="2093"/>
      <c r="J36" s="2096"/>
      <c r="K36" s="2087"/>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100"/>
      <c r="E37" s="2089"/>
      <c r="F37" s="2103"/>
      <c r="G37" s="2089"/>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099">
        <v>5</v>
      </c>
      <c r="E38" s="2088" t="s">
        <v>178</v>
      </c>
      <c r="F38" s="2101" t="s">
        <v>19</v>
      </c>
      <c r="G38" s="2088"/>
      <c r="H38" s="2090"/>
      <c r="I38" s="2092"/>
      <c r="J38" s="2094"/>
      <c r="K38" s="2086"/>
      <c r="L38" s="2086"/>
      <c r="M38" s="2086"/>
      <c r="N38" s="2097"/>
      <c r="O38" s="2086"/>
      <c r="P38" s="2086"/>
      <c r="Q38" s="2086"/>
      <c r="R38" s="2084"/>
      <c r="S38" s="2086"/>
      <c r="T38" s="1348"/>
      <c r="U38" s="1348"/>
      <c r="V38" s="1347"/>
      <c r="W38" s="1224"/>
      <c r="X38" s="1195"/>
      <c r="Y38" s="1195"/>
      <c r="Z38" s="1195"/>
      <c r="AA38" s="1195"/>
      <c r="AB38" s="1195"/>
      <c r="AC38" s="1195" t="s">
        <v>179</v>
      </c>
      <c r="AD38" s="1195" t="s">
        <v>180</v>
      </c>
      <c r="AE38" s="1195" t="s">
        <v>181</v>
      </c>
      <c r="AF38" s="1195" t="s">
        <v>182</v>
      </c>
      <c r="AG38" s="1195" t="s">
        <v>183</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099"/>
      <c r="E39" s="2088"/>
      <c r="F39" s="2102"/>
      <c r="G39" s="2088"/>
      <c r="H39" s="2091"/>
      <c r="I39" s="2093"/>
      <c r="J39" s="2095"/>
      <c r="K39" s="2087"/>
      <c r="L39" s="2087"/>
      <c r="M39" s="2087"/>
      <c r="N39" s="2098"/>
      <c r="O39" s="2087"/>
      <c r="P39" s="2087"/>
      <c r="Q39" s="2087"/>
      <c r="R39" s="2085"/>
      <c r="S39" s="2087"/>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100"/>
      <c r="E40" s="2089"/>
      <c r="F40" s="2102"/>
      <c r="G40" s="2089"/>
      <c r="H40" s="2091"/>
      <c r="I40" s="2093"/>
      <c r="J40" s="2096"/>
      <c r="K40" s="2087"/>
      <c r="L40" s="2087"/>
      <c r="M40" s="2087"/>
      <c r="N40" s="2085"/>
      <c r="O40" s="2087"/>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100"/>
      <c r="E41" s="2089"/>
      <c r="F41" s="2102"/>
      <c r="G41" s="2089"/>
      <c r="H41" s="2091"/>
      <c r="I41" s="2093"/>
      <c r="J41" s="2096"/>
      <c r="K41" s="2087"/>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100"/>
      <c r="E42" s="2089"/>
      <c r="F42" s="2103"/>
      <c r="G42" s="2089"/>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099">
        <v>6</v>
      </c>
      <c r="E43" s="2088" t="s">
        <v>184</v>
      </c>
      <c r="F43" s="2101" t="s">
        <v>19</v>
      </c>
      <c r="G43" s="2088"/>
      <c r="H43" s="2090"/>
      <c r="I43" s="2092"/>
      <c r="J43" s="2094"/>
      <c r="K43" s="2086"/>
      <c r="L43" s="2086"/>
      <c r="M43" s="2086"/>
      <c r="N43" s="2097"/>
      <c r="O43" s="2086"/>
      <c r="P43" s="2086"/>
      <c r="Q43" s="2086"/>
      <c r="R43" s="2084"/>
      <c r="S43" s="2086"/>
      <c r="T43" s="1348"/>
      <c r="U43" s="1348"/>
      <c r="V43" s="1347"/>
      <c r="W43" s="1224"/>
      <c r="X43" s="1195"/>
      <c r="Y43" s="1195"/>
      <c r="Z43" s="1195"/>
      <c r="AA43" s="1195"/>
      <c r="AB43" s="1195"/>
      <c r="AC43" s="1195" t="s">
        <v>185</v>
      </c>
      <c r="AD43" s="1195" t="s">
        <v>186</v>
      </c>
      <c r="AE43" s="1195" t="s">
        <v>187</v>
      </c>
      <c r="AF43" s="1195" t="s">
        <v>188</v>
      </c>
      <c r="AG43" s="1195" t="s">
        <v>189</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099"/>
      <c r="E44" s="2088"/>
      <c r="F44" s="2102"/>
      <c r="G44" s="2088"/>
      <c r="H44" s="2091"/>
      <c r="I44" s="2093"/>
      <c r="J44" s="2095"/>
      <c r="K44" s="2087"/>
      <c r="L44" s="2087"/>
      <c r="M44" s="2087"/>
      <c r="N44" s="2098"/>
      <c r="O44" s="2087"/>
      <c r="P44" s="2087"/>
      <c r="Q44" s="2087"/>
      <c r="R44" s="2085"/>
      <c r="S44" s="2087"/>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100"/>
      <c r="E45" s="2089"/>
      <c r="F45" s="2102"/>
      <c r="G45" s="2089"/>
      <c r="H45" s="2091"/>
      <c r="I45" s="2093"/>
      <c r="J45" s="2096"/>
      <c r="K45" s="2087"/>
      <c r="L45" s="2087"/>
      <c r="M45" s="2087"/>
      <c r="N45" s="2085"/>
      <c r="O45" s="2087"/>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100"/>
      <c r="E46" s="2089"/>
      <c r="F46" s="2102"/>
      <c r="G46" s="2089"/>
      <c r="H46" s="2091"/>
      <c r="I46" s="2093"/>
      <c r="J46" s="2096"/>
      <c r="K46" s="2087"/>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100"/>
      <c r="E47" s="2089"/>
      <c r="F47" s="2103"/>
      <c r="G47" s="2089"/>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107">
        <v>7</v>
      </c>
      <c r="E48" s="2110" t="s">
        <v>190</v>
      </c>
      <c r="F48" s="2101" t="s">
        <v>19</v>
      </c>
      <c r="G48" s="2110"/>
      <c r="H48" s="2090"/>
      <c r="I48" s="2092"/>
      <c r="J48" s="2094"/>
      <c r="K48" s="2086"/>
      <c r="L48" s="2086"/>
      <c r="M48" s="2086"/>
      <c r="N48" s="2097"/>
      <c r="O48" s="2086"/>
      <c r="P48" s="2086"/>
      <c r="Q48" s="2086"/>
      <c r="R48" s="2084"/>
      <c r="S48" s="2086"/>
      <c r="T48" s="1348"/>
      <c r="U48" s="1348"/>
      <c r="V48" s="1347"/>
      <c r="W48" s="1224"/>
      <c r="X48" s="1195"/>
      <c r="Y48" s="1195"/>
      <c r="Z48" s="1195"/>
      <c r="AA48" s="1195"/>
      <c r="AB48" s="1195"/>
      <c r="AC48" s="1195" t="s">
        <v>191</v>
      </c>
      <c r="AD48" s="1195" t="s">
        <v>192</v>
      </c>
      <c r="AE48" s="1195" t="s">
        <v>193</v>
      </c>
      <c r="AF48" s="1195" t="s">
        <v>194</v>
      </c>
      <c r="AG48" s="1195" t="s">
        <v>195</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108"/>
      <c r="E49" s="2111"/>
      <c r="F49" s="2102"/>
      <c r="G49" s="2111"/>
      <c r="H49" s="2091"/>
      <c r="I49" s="2093"/>
      <c r="J49" s="2095"/>
      <c r="K49" s="2087"/>
      <c r="L49" s="2087"/>
      <c r="M49" s="2087"/>
      <c r="N49" s="2098"/>
      <c r="O49" s="2087"/>
      <c r="P49" s="2087"/>
      <c r="Q49" s="2087"/>
      <c r="R49" s="2085"/>
      <c r="S49" s="2087"/>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108"/>
      <c r="E50" s="2111"/>
      <c r="F50" s="2102"/>
      <c r="G50" s="2111"/>
      <c r="H50" s="2091"/>
      <c r="I50" s="2093"/>
      <c r="J50" s="2096"/>
      <c r="K50" s="2087"/>
      <c r="L50" s="2087"/>
      <c r="M50" s="2087"/>
      <c r="N50" s="2085"/>
      <c r="O50" s="2087"/>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108"/>
      <c r="E51" s="2111"/>
      <c r="F51" s="2102"/>
      <c r="G51" s="2111"/>
      <c r="H51" s="2091"/>
      <c r="I51" s="2093"/>
      <c r="J51" s="2096"/>
      <c r="K51" s="2087"/>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109"/>
      <c r="E52" s="2112"/>
      <c r="F52" s="2103"/>
      <c r="G52" s="2112"/>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099">
        <v>8</v>
      </c>
      <c r="E53" s="2088" t="s">
        <v>196</v>
      </c>
      <c r="F53" s="2101" t="s">
        <v>19</v>
      </c>
      <c r="G53" s="2088"/>
      <c r="H53" s="2090"/>
      <c r="I53" s="2092"/>
      <c r="J53" s="2094"/>
      <c r="K53" s="2086"/>
      <c r="L53" s="2086"/>
      <c r="M53" s="2086"/>
      <c r="N53" s="2097"/>
      <c r="O53" s="2086"/>
      <c r="P53" s="2086"/>
      <c r="Q53" s="2086"/>
      <c r="R53" s="2084"/>
      <c r="S53" s="2086"/>
      <c r="T53" s="1398"/>
      <c r="U53" s="1398"/>
      <c r="V53" s="1400"/>
      <c r="W53" s="1224"/>
      <c r="X53" s="1195"/>
      <c r="Y53" s="1195"/>
      <c r="Z53" s="1195"/>
      <c r="AA53" s="1195"/>
      <c r="AB53" s="1195"/>
      <c r="AC53" s="1195" t="s">
        <v>197</v>
      </c>
      <c r="AD53" s="1195" t="s">
        <v>198</v>
      </c>
      <c r="AE53" s="1195" t="s">
        <v>199</v>
      </c>
      <c r="AF53" s="1195" t="s">
        <v>200</v>
      </c>
      <c r="AG53" s="1195" t="s">
        <v>201</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099"/>
      <c r="E54" s="2088"/>
      <c r="F54" s="2102"/>
      <c r="G54" s="2088"/>
      <c r="H54" s="2091"/>
      <c r="I54" s="2093"/>
      <c r="J54" s="2095"/>
      <c r="K54" s="2087"/>
      <c r="L54" s="2087"/>
      <c r="M54" s="2087"/>
      <c r="N54" s="2098"/>
      <c r="O54" s="2087"/>
      <c r="P54" s="2087"/>
      <c r="Q54" s="2087"/>
      <c r="R54" s="2085"/>
      <c r="S54" s="2087"/>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100"/>
      <c r="E55" s="2089"/>
      <c r="F55" s="2102"/>
      <c r="G55" s="2089"/>
      <c r="H55" s="2091"/>
      <c r="I55" s="2093"/>
      <c r="J55" s="2096"/>
      <c r="K55" s="2087"/>
      <c r="L55" s="2087"/>
      <c r="M55" s="2087"/>
      <c r="N55" s="2085"/>
      <c r="O55" s="2087"/>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100"/>
      <c r="E56" s="2089"/>
      <c r="F56" s="2102"/>
      <c r="G56" s="2089"/>
      <c r="H56" s="2091"/>
      <c r="I56" s="2093"/>
      <c r="J56" s="2096"/>
      <c r="K56" s="2087"/>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100"/>
      <c r="E57" s="2089"/>
      <c r="F57" s="2103"/>
      <c r="G57" s="2089"/>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099">
        <v>9</v>
      </c>
      <c r="E58" s="2088" t="s">
        <v>202</v>
      </c>
      <c r="F58" s="2101" t="s">
        <v>19</v>
      </c>
      <c r="G58" s="2088"/>
      <c r="H58" s="2090"/>
      <c r="I58" s="2092"/>
      <c r="J58" s="2094"/>
      <c r="K58" s="2086"/>
      <c r="L58" s="2086"/>
      <c r="M58" s="2086"/>
      <c r="N58" s="2097"/>
      <c r="O58" s="2086"/>
      <c r="P58" s="2086"/>
      <c r="Q58" s="2086"/>
      <c r="R58" s="2084"/>
      <c r="S58" s="2086"/>
      <c r="T58" s="1854"/>
      <c r="U58" s="1854"/>
      <c r="V58" s="1856"/>
      <c r="W58" s="1224"/>
      <c r="X58" s="1195"/>
      <c r="Y58" s="1195"/>
      <c r="Z58" s="1195"/>
      <c r="AA58" s="1195"/>
      <c r="AB58" s="1195"/>
      <c r="AC58" s="1195" t="s">
        <v>203</v>
      </c>
      <c r="AD58" s="1195" t="s">
        <v>204</v>
      </c>
      <c r="AE58" s="1195" t="s">
        <v>205</v>
      </c>
      <c r="AF58" s="1195" t="s">
        <v>206</v>
      </c>
      <c r="AG58" s="1195" t="s">
        <v>207</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099"/>
      <c r="E59" s="2088"/>
      <c r="F59" s="2102"/>
      <c r="G59" s="2088"/>
      <c r="H59" s="2091"/>
      <c r="I59" s="2093"/>
      <c r="J59" s="2095"/>
      <c r="K59" s="2087"/>
      <c r="L59" s="2087"/>
      <c r="M59" s="2087"/>
      <c r="N59" s="2098"/>
      <c r="O59" s="2087"/>
      <c r="P59" s="2087"/>
      <c r="Q59" s="2087"/>
      <c r="R59" s="2085"/>
      <c r="S59" s="2087"/>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100"/>
      <c r="E60" s="2089"/>
      <c r="F60" s="2102"/>
      <c r="G60" s="2089"/>
      <c r="H60" s="2091"/>
      <c r="I60" s="2093"/>
      <c r="J60" s="2096"/>
      <c r="K60" s="2087"/>
      <c r="L60" s="2087"/>
      <c r="M60" s="2087"/>
      <c r="N60" s="2085"/>
      <c r="O60" s="2087"/>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100"/>
      <c r="E61" s="2089"/>
      <c r="F61" s="2102"/>
      <c r="G61" s="2089"/>
      <c r="H61" s="2091"/>
      <c r="I61" s="2093"/>
      <c r="J61" s="2096"/>
      <c r="K61" s="2087"/>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100"/>
      <c r="E62" s="2089"/>
      <c r="F62" s="2103"/>
      <c r="G62" s="2089"/>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099">
        <v>10</v>
      </c>
      <c r="E63" s="2088" t="s">
        <v>208</v>
      </c>
      <c r="F63" s="2101" t="s">
        <v>19</v>
      </c>
      <c r="G63" s="2088"/>
      <c r="H63" s="2090"/>
      <c r="I63" s="2092"/>
      <c r="J63" s="2094"/>
      <c r="K63" s="2086"/>
      <c r="L63" s="2086"/>
      <c r="M63" s="2086"/>
      <c r="N63" s="2097"/>
      <c r="O63" s="2086"/>
      <c r="P63" s="2086"/>
      <c r="Q63" s="2086"/>
      <c r="R63" s="2084"/>
      <c r="S63" s="2086"/>
      <c r="T63" s="1854"/>
      <c r="U63" s="1854"/>
      <c r="V63" s="1856"/>
      <c r="W63" s="1224"/>
      <c r="X63" s="1195"/>
      <c r="Y63" s="1195"/>
      <c r="Z63" s="1195"/>
      <c r="AA63" s="1195"/>
      <c r="AB63" s="1195"/>
      <c r="AC63" s="1195" t="s">
        <v>209</v>
      </c>
      <c r="AD63" s="1195" t="s">
        <v>210</v>
      </c>
      <c r="AE63" s="1195" t="s">
        <v>211</v>
      </c>
      <c r="AF63" s="1195" t="s">
        <v>212</v>
      </c>
      <c r="AG63" s="1195" t="s">
        <v>213</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099"/>
      <c r="E64" s="2088"/>
      <c r="F64" s="2102"/>
      <c r="G64" s="2088"/>
      <c r="H64" s="2091"/>
      <c r="I64" s="2093"/>
      <c r="J64" s="2095"/>
      <c r="K64" s="2087"/>
      <c r="L64" s="2087"/>
      <c r="M64" s="2087"/>
      <c r="N64" s="2098"/>
      <c r="O64" s="2087"/>
      <c r="P64" s="2087"/>
      <c r="Q64" s="2087"/>
      <c r="R64" s="2085"/>
      <c r="S64" s="2087"/>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100"/>
      <c r="E65" s="2089"/>
      <c r="F65" s="2102"/>
      <c r="G65" s="2089"/>
      <c r="H65" s="2091"/>
      <c r="I65" s="2093"/>
      <c r="J65" s="2096"/>
      <c r="K65" s="2087"/>
      <c r="L65" s="2087"/>
      <c r="M65" s="2087"/>
      <c r="N65" s="2085"/>
      <c r="O65" s="2087"/>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100"/>
      <c r="E66" s="2089"/>
      <c r="F66" s="2102"/>
      <c r="G66" s="2089"/>
      <c r="H66" s="2091"/>
      <c r="I66" s="2093"/>
      <c r="J66" s="2096"/>
      <c r="K66" s="2087"/>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100"/>
      <c r="E67" s="2089"/>
      <c r="F67" s="2103"/>
      <c r="G67" s="2089"/>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106" t="s">
        <v>214</v>
      </c>
      <c r="F69" s="2106"/>
      <c r="G69" s="2106"/>
      <c r="H69" s="2106"/>
      <c r="I69" s="2106"/>
      <c r="J69" s="2106"/>
      <c r="K69" s="2106"/>
      <c r="L69" s="2106"/>
      <c r="M69" s="2106"/>
      <c r="N69" s="2106"/>
      <c r="O69" s="2106"/>
      <c r="P69" s="2106"/>
      <c r="Q69" s="2106"/>
      <c r="R69" s="2106"/>
      <c r="S69" s="2106"/>
      <c r="T69" s="2106"/>
      <c r="U69" s="2106"/>
      <c r="V69" s="2106"/>
      <c r="W69" s="2106"/>
      <c r="AR69" s="44">
        <v>0</v>
      </c>
    </row>
    <row r="70" spans="1:44" ht="36.75" hidden="1" customHeight="1">
      <c r="E70" s="2104" t="s">
        <v>215</v>
      </c>
      <c r="F70" s="2104"/>
      <c r="G70" s="2105"/>
      <c r="H70" s="2105"/>
      <c r="I70" s="2105"/>
      <c r="J70" s="2105"/>
      <c r="K70" s="2105"/>
      <c r="L70" s="2105"/>
      <c r="M70" s="2105"/>
      <c r="N70" s="2105"/>
      <c r="O70" s="2105"/>
      <c r="P70" s="2105"/>
      <c r="Q70" s="2105"/>
      <c r="R70" s="2105"/>
      <c r="S70" s="2105"/>
      <c r="T70" s="2105"/>
      <c r="U70" s="2105"/>
      <c r="V70" s="2105"/>
      <c r="W70" s="2105"/>
      <c r="AR70" s="44">
        <v>0</v>
      </c>
    </row>
    <row r="71" spans="1:44" ht="28.5" hidden="1" customHeight="1">
      <c r="E71" s="2104" t="s">
        <v>216</v>
      </c>
      <c r="F71" s="2104"/>
      <c r="G71" s="2105"/>
      <c r="H71" s="2105"/>
      <c r="I71" s="2105"/>
      <c r="J71" s="2105"/>
      <c r="K71" s="2105"/>
      <c r="L71" s="2105"/>
      <c r="M71" s="2105"/>
      <c r="N71" s="2105"/>
      <c r="O71" s="2105"/>
      <c r="P71" s="2105"/>
      <c r="Q71" s="2105"/>
      <c r="R71" s="2105"/>
      <c r="S71" s="2105"/>
      <c r="T71" s="2105"/>
      <c r="U71" s="2105"/>
      <c r="V71" s="2105"/>
      <c r="W71" s="2105"/>
      <c r="AR71" s="44">
        <v>0</v>
      </c>
    </row>
    <row r="72" spans="1:44" ht="27" hidden="1" customHeight="1">
      <c r="E72" s="2104" t="s">
        <v>217</v>
      </c>
      <c r="F72" s="2104"/>
      <c r="G72" s="2105"/>
      <c r="H72" s="2105"/>
      <c r="I72" s="2105"/>
      <c r="J72" s="2105"/>
      <c r="K72" s="2105"/>
      <c r="L72" s="2105"/>
      <c r="M72" s="2105"/>
      <c r="N72" s="2105"/>
      <c r="O72" s="2105"/>
      <c r="P72" s="2105"/>
      <c r="Q72" s="2105"/>
      <c r="R72" s="2105"/>
      <c r="S72" s="2105"/>
      <c r="T72" s="2105"/>
      <c r="U72" s="2105"/>
      <c r="V72" s="2105"/>
      <c r="W72" s="2105"/>
      <c r="AR72" s="44">
        <v>0</v>
      </c>
    </row>
    <row r="73" spans="1:44" ht="17.25" hidden="1" customHeight="1">
      <c r="E73" s="2104" t="s">
        <v>218</v>
      </c>
      <c r="F73" s="2104"/>
      <c r="G73" s="2105"/>
      <c r="H73" s="2105"/>
      <c r="I73" s="2105"/>
      <c r="J73" s="2105"/>
      <c r="K73" s="2105"/>
      <c r="L73" s="2105"/>
      <c r="M73" s="2105"/>
      <c r="N73" s="2105"/>
      <c r="O73" s="2105"/>
      <c r="P73" s="2105"/>
      <c r="Q73" s="2105"/>
      <c r="R73" s="2105"/>
      <c r="S73" s="2105"/>
      <c r="T73" s="2105"/>
      <c r="U73" s="2105"/>
      <c r="V73" s="2105"/>
      <c r="W73" s="2105"/>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106" t="s">
        <v>219</v>
      </c>
      <c r="F75" s="2106"/>
      <c r="G75" s="2106"/>
      <c r="H75" s="2106"/>
      <c r="I75" s="2106"/>
      <c r="J75" s="2106"/>
      <c r="K75" s="2106"/>
      <c r="L75" s="2106"/>
      <c r="M75" s="2106"/>
      <c r="N75" s="2106"/>
      <c r="O75" s="2106"/>
      <c r="P75" s="2106"/>
      <c r="Q75" s="2106"/>
      <c r="R75" s="2106"/>
      <c r="S75" s="2106"/>
      <c r="T75" s="2106"/>
      <c r="U75" s="2106"/>
      <c r="V75" s="2106"/>
      <c r="W75" s="2106"/>
      <c r="AR75" s="44">
        <v>0</v>
      </c>
    </row>
    <row r="76" spans="1:44" ht="17.25" hidden="1" customHeight="1">
      <c r="E76" s="2104" t="s">
        <v>220</v>
      </c>
      <c r="F76" s="2104"/>
      <c r="G76" s="2105"/>
      <c r="H76" s="2105"/>
      <c r="I76" s="2105"/>
      <c r="J76" s="2105"/>
      <c r="K76" s="2105"/>
      <c r="L76" s="2105"/>
      <c r="M76" s="2105"/>
      <c r="N76" s="2105"/>
      <c r="O76" s="2105"/>
      <c r="P76" s="2105"/>
      <c r="Q76" s="2105"/>
      <c r="R76" s="2105"/>
      <c r="S76" s="2105"/>
      <c r="T76" s="2105"/>
      <c r="U76" s="2105"/>
      <c r="V76" s="2105"/>
      <c r="W76" s="2105"/>
      <c r="AR76" s="44">
        <v>0</v>
      </c>
    </row>
    <row r="77" spans="1:44" ht="17.25" hidden="1" customHeight="1">
      <c r="E77" s="2104" t="s">
        <v>221</v>
      </c>
      <c r="F77" s="2104"/>
      <c r="G77" s="2105"/>
      <c r="H77" s="2105"/>
      <c r="I77" s="2105"/>
      <c r="J77" s="2105"/>
      <c r="K77" s="2105"/>
      <c r="L77" s="2105"/>
      <c r="M77" s="2105"/>
      <c r="N77" s="2105"/>
      <c r="O77" s="2105"/>
      <c r="P77" s="2105"/>
      <c r="Q77" s="2105"/>
      <c r="R77" s="2105"/>
      <c r="S77" s="2105"/>
      <c r="T77" s="2105"/>
      <c r="U77" s="2105"/>
      <c r="V77" s="2105"/>
      <c r="W77" s="2105"/>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hidden="1" customHeight="1">
      <c r="A79" s="259"/>
      <c r="C79" s="147"/>
      <c r="D79" s="2099">
        <v>1</v>
      </c>
      <c r="E79" s="2088" t="s">
        <v>222</v>
      </c>
      <c r="F79" s="2101" t="s">
        <v>19</v>
      </c>
      <c r="G79" s="2088"/>
      <c r="H79" s="2090"/>
      <c r="I79" s="2092"/>
      <c r="J79" s="2094"/>
      <c r="K79" s="2086"/>
      <c r="L79" s="2086"/>
      <c r="M79" s="2086"/>
      <c r="N79" s="2097"/>
      <c r="O79" s="2086"/>
      <c r="P79" s="2086"/>
      <c r="Q79" s="2086"/>
      <c r="R79" s="2084"/>
      <c r="S79" s="2086"/>
      <c r="T79" s="1398"/>
      <c r="U79" s="1398"/>
      <c r="V79" s="1400"/>
      <c r="W79" s="1224"/>
      <c r="Y79" s="1195"/>
      <c r="Z79" s="1195"/>
      <c r="AA79" s="1195"/>
      <c r="AB79" s="1195"/>
      <c r="AC79" s="1195" t="s">
        <v>223</v>
      </c>
      <c r="AD79" s="1195" t="s">
        <v>224</v>
      </c>
      <c r="AE79" s="1195" t="s">
        <v>225</v>
      </c>
      <c r="AF79" s="1195" t="s">
        <v>226</v>
      </c>
      <c r="AG79" s="1195"/>
      <c r="AH79" s="1195" t="str">
        <f>IF($E$79=0,"",$E$79)</f>
        <v>Тариф на питьевую воду (питьевое водоснабжение)</v>
      </c>
      <c r="AI79" s="1195" t="str">
        <f>IF($G$79=0,"",$G$79)</f>
        <v/>
      </c>
      <c r="AJ79" s="1195" t="str">
        <f>IF($J$79=0,"",$J$79)</f>
        <v/>
      </c>
      <c r="AK79" s="1195" t="str">
        <f>IF($K$79="нет","без дифференциации",IF($N$79=0,"",$N$79))</f>
        <v/>
      </c>
      <c r="AL79" s="1195" t="str">
        <f>IF($O$79="нет","без дифференциации",IF($R$79=0,"",$R$79))</f>
        <v/>
      </c>
      <c r="AM79" s="1195" t="str">
        <f>IF($S$79="нет","без дифференциации",IF($V$79=0,"",$V$79))</f>
        <v/>
      </c>
      <c r="AN79" s="1195">
        <f>$I$79</f>
        <v>0</v>
      </c>
      <c r="AO79" s="1195" t="str">
        <f>$I$79&amp;"."&amp;$M$79</f>
        <v>.</v>
      </c>
      <c r="AP79" s="1195" t="str">
        <f>$I$79&amp;"."&amp;$M$79&amp;"."&amp;$Q$79</f>
        <v>..</v>
      </c>
      <c r="AQ79" s="1195" t="str">
        <f>$I$79&amp;"."&amp;$M$79&amp;"."&amp;$Q$79&amp;"."&amp;$U$79</f>
        <v>...</v>
      </c>
      <c r="AR79" s="1278">
        <v>0</v>
      </c>
    </row>
    <row r="80" spans="1:44" s="1779" customFormat="1" ht="17.25" hidden="1" customHeight="1">
      <c r="A80" s="259"/>
      <c r="C80" s="258"/>
      <c r="D80" s="2099"/>
      <c r="E80" s="2088"/>
      <c r="F80" s="2102"/>
      <c r="G80" s="2088"/>
      <c r="H80" s="2091"/>
      <c r="I80" s="2093"/>
      <c r="J80" s="2095"/>
      <c r="K80" s="2087"/>
      <c r="L80" s="2087"/>
      <c r="M80" s="2087"/>
      <c r="N80" s="2098"/>
      <c r="O80" s="2087"/>
      <c r="P80" s="2087"/>
      <c r="Q80" s="2087"/>
      <c r="R80" s="2085"/>
      <c r="S80" s="2087"/>
      <c r="T80" s="1225"/>
      <c r="U80" s="1225"/>
      <c r="V80" s="1225"/>
      <c r="W80" s="1226"/>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hidden="1" customHeight="1">
      <c r="A81" s="259"/>
      <c r="C81" s="147"/>
      <c r="D81" s="2099"/>
      <c r="E81" s="2088"/>
      <c r="F81" s="2102"/>
      <c r="G81" s="2088"/>
      <c r="H81" s="2091"/>
      <c r="I81" s="2093"/>
      <c r="J81" s="2096"/>
      <c r="K81" s="2087"/>
      <c r="L81" s="2087"/>
      <c r="M81" s="2087"/>
      <c r="N81" s="2085"/>
      <c r="O81" s="2087"/>
      <c r="P81" s="1399"/>
      <c r="Q81" s="1225"/>
      <c r="R81" s="1225"/>
      <c r="S81" s="267"/>
      <c r="T81" s="267"/>
      <c r="U81" s="267"/>
      <c r="V81" s="267"/>
      <c r="W81" s="1226"/>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hidden="1" customHeight="1">
      <c r="A82" s="259"/>
      <c r="C82" s="258"/>
      <c r="D82" s="2099"/>
      <c r="E82" s="2088"/>
      <c r="F82" s="2102"/>
      <c r="G82" s="2088"/>
      <c r="H82" s="2091"/>
      <c r="I82" s="2093"/>
      <c r="J82" s="2096"/>
      <c r="K82" s="2087"/>
      <c r="L82" s="1225"/>
      <c r="M82" s="1225"/>
      <c r="N82" s="1225"/>
      <c r="O82" s="1225"/>
      <c r="P82" s="1225"/>
      <c r="Q82" s="1225"/>
      <c r="R82" s="1225"/>
      <c r="S82" s="267"/>
      <c r="T82" s="267"/>
      <c r="U82" s="267"/>
      <c r="V82" s="267"/>
      <c r="W82" s="1226"/>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hidden="1" customHeight="1">
      <c r="A83" s="259"/>
      <c r="C83" s="258"/>
      <c r="D83" s="2100"/>
      <c r="E83" s="2089"/>
      <c r="F83" s="2103"/>
      <c r="G83" s="2089"/>
      <c r="H83" s="1227"/>
      <c r="I83" s="1228"/>
      <c r="J83" s="1228"/>
      <c r="K83" s="1228"/>
      <c r="L83" s="1228"/>
      <c r="M83" s="1228"/>
      <c r="N83" s="1228"/>
      <c r="O83" s="1228"/>
      <c r="P83" s="1228"/>
      <c r="Q83" s="1228"/>
      <c r="R83" s="1228"/>
      <c r="S83" s="1229"/>
      <c r="T83" s="1229"/>
      <c r="U83" s="1229"/>
      <c r="V83" s="1229"/>
      <c r="W83" s="1230"/>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hidden="1" customHeight="1">
      <c r="A84" s="259"/>
      <c r="C84" s="147"/>
      <c r="D84" s="2099">
        <v>2</v>
      </c>
      <c r="E84" s="2088" t="s">
        <v>227</v>
      </c>
      <c r="F84" s="2101" t="s">
        <v>19</v>
      </c>
      <c r="G84" s="2088"/>
      <c r="H84" s="2090"/>
      <c r="I84" s="2092"/>
      <c r="J84" s="2094"/>
      <c r="K84" s="2086"/>
      <c r="L84" s="2086"/>
      <c r="M84" s="2086"/>
      <c r="N84" s="2097"/>
      <c r="O84" s="2086"/>
      <c r="P84" s="2086"/>
      <c r="Q84" s="2086"/>
      <c r="R84" s="2084"/>
      <c r="S84" s="2086"/>
      <c r="T84" s="1371"/>
      <c r="U84" s="1371"/>
      <c r="V84" s="1373"/>
      <c r="W84" s="1224"/>
      <c r="X84" s="1195"/>
      <c r="Y84" s="1195"/>
      <c r="Z84" s="1195"/>
      <c r="AA84" s="1195"/>
      <c r="AB84" s="1195"/>
      <c r="AC84" s="1195" t="s">
        <v>228</v>
      </c>
      <c r="AD84" s="1195" t="s">
        <v>229</v>
      </c>
      <c r="AE84" s="1195" t="s">
        <v>230</v>
      </c>
      <c r="AF84" s="1195" t="s">
        <v>231</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hidden="1" customHeight="1">
      <c r="A85" s="259"/>
      <c r="C85" s="258"/>
      <c r="D85" s="2099"/>
      <c r="E85" s="2088"/>
      <c r="F85" s="2102"/>
      <c r="G85" s="2088"/>
      <c r="H85" s="2091"/>
      <c r="I85" s="2093"/>
      <c r="J85" s="2095"/>
      <c r="K85" s="2087"/>
      <c r="L85" s="2087"/>
      <c r="M85" s="2087"/>
      <c r="N85" s="2098"/>
      <c r="O85" s="2087"/>
      <c r="P85" s="2087"/>
      <c r="Q85" s="2087"/>
      <c r="R85" s="2085"/>
      <c r="S85" s="2087"/>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hidden="1" customHeight="1">
      <c r="A86" s="259"/>
      <c r="C86" s="258"/>
      <c r="D86" s="2100"/>
      <c r="E86" s="2089"/>
      <c r="F86" s="2102"/>
      <c r="G86" s="2089"/>
      <c r="H86" s="2091"/>
      <c r="I86" s="2093"/>
      <c r="J86" s="2096"/>
      <c r="K86" s="2087"/>
      <c r="L86" s="2087"/>
      <c r="M86" s="2087"/>
      <c r="N86" s="2085"/>
      <c r="O86" s="2087"/>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hidden="1" customHeight="1">
      <c r="A87" s="259"/>
      <c r="C87" s="258"/>
      <c r="D87" s="2100"/>
      <c r="E87" s="2089"/>
      <c r="F87" s="2102"/>
      <c r="G87" s="2089"/>
      <c r="H87" s="2091"/>
      <c r="I87" s="2093"/>
      <c r="J87" s="2096"/>
      <c r="K87" s="2087"/>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17.25" hidden="1" customHeight="1">
      <c r="A88" s="259"/>
      <c r="C88" s="258"/>
      <c r="D88" s="2100"/>
      <c r="E88" s="2089"/>
      <c r="F88" s="2103"/>
      <c r="G88" s="2089"/>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hidden="1" customHeight="1">
      <c r="A89" s="259"/>
      <c r="C89" s="147"/>
      <c r="D89" s="2099">
        <v>3</v>
      </c>
      <c r="E89" s="2088" t="s">
        <v>232</v>
      </c>
      <c r="F89" s="2101" t="s">
        <v>19</v>
      </c>
      <c r="G89" s="2088"/>
      <c r="H89" s="2090"/>
      <c r="I89" s="2092"/>
      <c r="J89" s="2094"/>
      <c r="K89" s="2086"/>
      <c r="L89" s="2086"/>
      <c r="M89" s="2086"/>
      <c r="N89" s="2097"/>
      <c r="O89" s="2086"/>
      <c r="P89" s="2086"/>
      <c r="Q89" s="2086"/>
      <c r="R89" s="2084"/>
      <c r="S89" s="2086"/>
      <c r="T89" s="1371"/>
      <c r="U89" s="1371"/>
      <c r="V89" s="1373"/>
      <c r="W89" s="1224"/>
      <c r="X89" s="1195"/>
      <c r="Y89" s="1195"/>
      <c r="Z89" s="1195"/>
      <c r="AA89" s="1195"/>
      <c r="AB89" s="1195"/>
      <c r="AC89" s="1195" t="s">
        <v>233</v>
      </c>
      <c r="AD89" s="1195" t="s">
        <v>234</v>
      </c>
      <c r="AE89" s="1195" t="s">
        <v>235</v>
      </c>
      <c r="AF89" s="1195" t="s">
        <v>236</v>
      </c>
      <c r="AG89" s="1195"/>
      <c r="AH89" s="1195" t="str">
        <f>IF($E$89=0,"",$E$89)</f>
        <v>Тариф на транспортировку воды</v>
      </c>
      <c r="AI89" s="1195" t="str">
        <f>IF($G$89=0,"",$G$89)</f>
        <v/>
      </c>
      <c r="AJ89" s="1195" t="str">
        <f>IF($J$89=0,"",$J$89)</f>
        <v/>
      </c>
      <c r="AK89" s="1195" t="str">
        <f>IF($K$89="нет","без дифференциации",IF($N$89=0,"",$N$89))</f>
        <v/>
      </c>
      <c r="AL89" s="1195" t="str">
        <f>IF($O$89="нет","без дифференциации",IF($R$89=0,"",$R$89))</f>
        <v/>
      </c>
      <c r="AM89" s="1195" t="str">
        <f>IF($S$89="нет","без дифференциации",IF($V$89=0,"",$V$89))</f>
        <v/>
      </c>
      <c r="AN89" s="1699">
        <f>$I$89</f>
        <v>0</v>
      </c>
      <c r="AO89" s="1195" t="str">
        <f>$I$89&amp;"."&amp;$M$89</f>
        <v>.</v>
      </c>
      <c r="AP89" s="1187" t="str">
        <f>$I$89&amp;"."&amp;$M$89&amp;"."&amp;$Q$89</f>
        <v>..</v>
      </c>
      <c r="AQ89" s="1187" t="str">
        <f>$I$89&amp;"."&amp;$M$89&amp;"."&amp;$Q$89&amp;"."&amp;$U$89</f>
        <v>...</v>
      </c>
      <c r="AR89" s="1278">
        <v>0</v>
      </c>
    </row>
    <row r="90" spans="1:44" s="1779" customFormat="1" ht="17.25" hidden="1" customHeight="1">
      <c r="A90" s="259"/>
      <c r="C90" s="258"/>
      <c r="D90" s="2099"/>
      <c r="E90" s="2088"/>
      <c r="F90" s="2102"/>
      <c r="G90" s="2088"/>
      <c r="H90" s="2091"/>
      <c r="I90" s="2093"/>
      <c r="J90" s="2095"/>
      <c r="K90" s="2087"/>
      <c r="L90" s="2087"/>
      <c r="M90" s="2087"/>
      <c r="N90" s="2098"/>
      <c r="O90" s="2087"/>
      <c r="P90" s="2087"/>
      <c r="Q90" s="2087"/>
      <c r="R90" s="2085"/>
      <c r="S90" s="2087"/>
      <c r="T90" s="1225"/>
      <c r="U90" s="1225"/>
      <c r="V90" s="1225"/>
      <c r="W90" s="1226"/>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hidden="1" customHeight="1">
      <c r="A91" s="259"/>
      <c r="C91" s="258"/>
      <c r="D91" s="2100"/>
      <c r="E91" s="2089"/>
      <c r="F91" s="2102"/>
      <c r="G91" s="2089"/>
      <c r="H91" s="2091"/>
      <c r="I91" s="2093"/>
      <c r="J91" s="2096"/>
      <c r="K91" s="2087"/>
      <c r="L91" s="2087"/>
      <c r="M91" s="2087"/>
      <c r="N91" s="2085"/>
      <c r="O91" s="2087"/>
      <c r="P91" s="1372"/>
      <c r="Q91" s="1225"/>
      <c r="R91" s="1225"/>
      <c r="S91" s="267"/>
      <c r="T91" s="267"/>
      <c r="U91" s="267"/>
      <c r="V91" s="267"/>
      <c r="W91" s="1226"/>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hidden="1" customHeight="1">
      <c r="A92" s="259"/>
      <c r="C92" s="258"/>
      <c r="D92" s="2100"/>
      <c r="E92" s="2089"/>
      <c r="F92" s="2102"/>
      <c r="G92" s="2089"/>
      <c r="H92" s="2091"/>
      <c r="I92" s="2093"/>
      <c r="J92" s="2096"/>
      <c r="K92" s="2087"/>
      <c r="L92" s="1225"/>
      <c r="M92" s="1225"/>
      <c r="N92" s="1225"/>
      <c r="O92" s="1225"/>
      <c r="P92" s="1225"/>
      <c r="Q92" s="1225"/>
      <c r="R92" s="1225"/>
      <c r="S92" s="267"/>
      <c r="T92" s="267"/>
      <c r="U92" s="267"/>
      <c r="V92" s="267"/>
      <c r="W92" s="1226"/>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hidden="1" customHeight="1">
      <c r="A93" s="259"/>
      <c r="C93" s="258"/>
      <c r="D93" s="2100"/>
      <c r="E93" s="2089"/>
      <c r="F93" s="2103"/>
      <c r="G93" s="2089"/>
      <c r="H93" s="1227"/>
      <c r="I93" s="1228"/>
      <c r="J93" s="1228"/>
      <c r="K93" s="1228"/>
      <c r="L93" s="1228"/>
      <c r="M93" s="1228"/>
      <c r="N93" s="1228"/>
      <c r="O93" s="1228"/>
      <c r="P93" s="1228"/>
      <c r="Q93" s="1228"/>
      <c r="R93" s="1228"/>
      <c r="S93" s="1229"/>
      <c r="T93" s="1229"/>
      <c r="U93" s="1229"/>
      <c r="V93" s="1229"/>
      <c r="W93" s="1230"/>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hidden="1" customHeight="1">
      <c r="A94" s="259"/>
      <c r="C94" s="147"/>
      <c r="D94" s="2099">
        <v>4</v>
      </c>
      <c r="E94" s="2088" t="s">
        <v>237</v>
      </c>
      <c r="F94" s="2101" t="s">
        <v>19</v>
      </c>
      <c r="G94" s="2088"/>
      <c r="H94" s="2090"/>
      <c r="I94" s="2092"/>
      <c r="J94" s="2094"/>
      <c r="K94" s="2086"/>
      <c r="L94" s="2086"/>
      <c r="M94" s="2086"/>
      <c r="N94" s="2097"/>
      <c r="O94" s="2086"/>
      <c r="P94" s="2086"/>
      <c r="Q94" s="2086"/>
      <c r="R94" s="2084"/>
      <c r="S94" s="2086"/>
      <c r="T94" s="1371"/>
      <c r="U94" s="1371"/>
      <c r="V94" s="1373"/>
      <c r="W94" s="1224"/>
      <c r="X94" s="1195"/>
      <c r="Y94" s="1195"/>
      <c r="Z94" s="1195"/>
      <c r="AA94" s="1195"/>
      <c r="AB94" s="1195"/>
      <c r="AC94" s="1195" t="s">
        <v>238</v>
      </c>
      <c r="AD94" s="1195" t="s">
        <v>239</v>
      </c>
      <c r="AE94" s="1195" t="s">
        <v>240</v>
      </c>
      <c r="AF94" s="1195" t="s">
        <v>241</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hidden="1" customHeight="1">
      <c r="A95" s="259"/>
      <c r="C95" s="258"/>
      <c r="D95" s="2099"/>
      <c r="E95" s="2088"/>
      <c r="F95" s="2102"/>
      <c r="G95" s="2088"/>
      <c r="H95" s="2091"/>
      <c r="I95" s="2093"/>
      <c r="J95" s="2095"/>
      <c r="K95" s="2087"/>
      <c r="L95" s="2087"/>
      <c r="M95" s="2087"/>
      <c r="N95" s="2098"/>
      <c r="O95" s="2087"/>
      <c r="P95" s="2087"/>
      <c r="Q95" s="2087"/>
      <c r="R95" s="2085"/>
      <c r="S95" s="2087"/>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hidden="1" customHeight="1">
      <c r="A96" s="259"/>
      <c r="C96" s="258"/>
      <c r="D96" s="2100"/>
      <c r="E96" s="2089"/>
      <c r="F96" s="2102"/>
      <c r="G96" s="2089"/>
      <c r="H96" s="2091"/>
      <c r="I96" s="2093"/>
      <c r="J96" s="2096"/>
      <c r="K96" s="2087"/>
      <c r="L96" s="2087"/>
      <c r="M96" s="2087"/>
      <c r="N96" s="2085"/>
      <c r="O96" s="2087"/>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hidden="1" customHeight="1">
      <c r="A97" s="259"/>
      <c r="C97" s="258"/>
      <c r="D97" s="2100"/>
      <c r="E97" s="2089"/>
      <c r="F97" s="2102"/>
      <c r="G97" s="2089"/>
      <c r="H97" s="2091"/>
      <c r="I97" s="2093"/>
      <c r="J97" s="2096"/>
      <c r="K97" s="2087"/>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hidden="1" customHeight="1">
      <c r="A98" s="259"/>
      <c r="C98" s="258"/>
      <c r="D98" s="2100"/>
      <c r="E98" s="2089"/>
      <c r="F98" s="2103"/>
      <c r="G98" s="2089"/>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hidden="1" customHeight="1">
      <c r="A99" s="259"/>
      <c r="C99" s="147"/>
      <c r="D99" s="2099">
        <v>5</v>
      </c>
      <c r="E99" s="2088" t="s">
        <v>242</v>
      </c>
      <c r="F99" s="2101" t="s">
        <v>19</v>
      </c>
      <c r="G99" s="2088"/>
      <c r="H99" s="2090"/>
      <c r="I99" s="2092"/>
      <c r="J99" s="2094"/>
      <c r="K99" s="2086"/>
      <c r="L99" s="2086"/>
      <c r="M99" s="2086"/>
      <c r="N99" s="2097"/>
      <c r="O99" s="2086"/>
      <c r="P99" s="2086"/>
      <c r="Q99" s="2086"/>
      <c r="R99" s="2084"/>
      <c r="S99" s="2086"/>
      <c r="T99" s="1866"/>
      <c r="U99" s="1866"/>
      <c r="V99" s="1868"/>
      <c r="W99" s="1224"/>
      <c r="X99" s="1195"/>
      <c r="Y99" s="1195"/>
      <c r="Z99" s="1195"/>
      <c r="AA99" s="1195"/>
      <c r="AB99" s="1195"/>
      <c r="AC99" s="1195" t="s">
        <v>243</v>
      </c>
      <c r="AD99" s="1195" t="s">
        <v>244</v>
      </c>
      <c r="AE99" s="1195" t="s">
        <v>245</v>
      </c>
      <c r="AF99" s="1195" t="s">
        <v>246</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hidden="1" customHeight="1">
      <c r="A100" s="259"/>
      <c r="C100" s="258"/>
      <c r="D100" s="2099"/>
      <c r="E100" s="2088"/>
      <c r="F100" s="2102"/>
      <c r="G100" s="2088"/>
      <c r="H100" s="2091"/>
      <c r="I100" s="2093"/>
      <c r="J100" s="2095"/>
      <c r="K100" s="2087"/>
      <c r="L100" s="2087"/>
      <c r="M100" s="2087"/>
      <c r="N100" s="2098"/>
      <c r="O100" s="2087"/>
      <c r="P100" s="2087"/>
      <c r="Q100" s="2087"/>
      <c r="R100" s="2085"/>
      <c r="S100" s="2087"/>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hidden="1" customHeight="1">
      <c r="A101" s="259"/>
      <c r="C101" s="258"/>
      <c r="D101" s="2100"/>
      <c r="E101" s="2089"/>
      <c r="F101" s="2102"/>
      <c r="G101" s="2089"/>
      <c r="H101" s="2091"/>
      <c r="I101" s="2093"/>
      <c r="J101" s="2096"/>
      <c r="K101" s="2087"/>
      <c r="L101" s="2087"/>
      <c r="M101" s="2087"/>
      <c r="N101" s="2085"/>
      <c r="O101" s="2087"/>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hidden="1" customHeight="1">
      <c r="A102" s="259"/>
      <c r="C102" s="258"/>
      <c r="D102" s="2100"/>
      <c r="E102" s="2089"/>
      <c r="F102" s="2102"/>
      <c r="G102" s="2089"/>
      <c r="H102" s="2091"/>
      <c r="I102" s="2093"/>
      <c r="J102" s="2096"/>
      <c r="K102" s="2087"/>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hidden="1" customHeight="1">
      <c r="A103" s="259"/>
      <c r="C103" s="258"/>
      <c r="D103" s="2100"/>
      <c r="E103" s="2089"/>
      <c r="F103" s="2103"/>
      <c r="G103" s="2089"/>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hidden="1" customHeight="1">
      <c r="A105" s="259"/>
      <c r="C105" s="147"/>
      <c r="D105" s="2099">
        <v>1</v>
      </c>
      <c r="E105" s="2088" t="s">
        <v>247</v>
      </c>
      <c r="F105" s="2101" t="s">
        <v>19</v>
      </c>
      <c r="G105" s="2088"/>
      <c r="H105" s="2090"/>
      <c r="I105" s="2092"/>
      <c r="J105" s="2094"/>
      <c r="K105" s="2086"/>
      <c r="L105" s="2086"/>
      <c r="M105" s="2086"/>
      <c r="N105" s="2097"/>
      <c r="O105" s="2086"/>
      <c r="P105" s="2086"/>
      <c r="Q105" s="2086"/>
      <c r="R105" s="2084"/>
      <c r="S105" s="2086"/>
      <c r="T105" s="1398"/>
      <c r="U105" s="1398"/>
      <c r="V105" s="1400"/>
      <c r="W105" s="1224"/>
      <c r="Y105" s="1195"/>
      <c r="Z105" s="1195"/>
      <c r="AA105" s="1195"/>
      <c r="AB105" s="1195"/>
      <c r="AC105" s="1195" t="s">
        <v>248</v>
      </c>
      <c r="AD105" s="1195" t="s">
        <v>249</v>
      </c>
      <c r="AE105" s="1195" t="s">
        <v>250</v>
      </c>
      <c r="AF105" s="1195" t="s">
        <v>251</v>
      </c>
      <c r="AG105" s="1195"/>
      <c r="AH105" s="1195" t="str">
        <f>IF($E$105=0,"",$E$105)</f>
        <v>Тариф на горячую воду (горячее водоснабжение)</v>
      </c>
      <c r="AI105" s="1195" t="str">
        <f>IF($G$105=0,"",$G$105)</f>
        <v/>
      </c>
      <c r="AJ105" s="1195" t="str">
        <f>IF($J$105=0,"",$J$105)</f>
        <v/>
      </c>
      <c r="AK105" s="1195" t="str">
        <f>IF($K$105="нет","без дифференциации",IF($N$105=0,"",$N$105))</f>
        <v/>
      </c>
      <c r="AL105" s="1195" t="str">
        <f>IF($O$105="нет","без дифференциации",IF($R$105=0,"",$R$105))</f>
        <v/>
      </c>
      <c r="AM105" s="1195" t="str">
        <f>IF($S$105="нет","без дифференциации",IF($V$105=0,"",$V$105))</f>
        <v/>
      </c>
      <c r="AN105" s="1195">
        <f>$I$105</f>
        <v>0</v>
      </c>
      <c r="AO105" s="1195" t="str">
        <f>$I$105&amp;"."&amp;$M$105</f>
        <v>.</v>
      </c>
      <c r="AP105" s="1195" t="str">
        <f>$I$105&amp;"."&amp;$M$105&amp;"."&amp;$Q$105</f>
        <v>..</v>
      </c>
      <c r="AQ105" s="1195" t="str">
        <f>$I$105&amp;"."&amp;$M$105&amp;"."&amp;$Q$105&amp;"."&amp;$U$105</f>
        <v>...</v>
      </c>
      <c r="AR105" s="1395">
        <v>0</v>
      </c>
    </row>
    <row r="106" spans="1:44" s="1779" customFormat="1" ht="17.25" hidden="1" customHeight="1">
      <c r="A106" s="259"/>
      <c r="C106" s="258"/>
      <c r="D106" s="2099"/>
      <c r="E106" s="2088"/>
      <c r="F106" s="2102"/>
      <c r="G106" s="2088"/>
      <c r="H106" s="2091"/>
      <c r="I106" s="2093"/>
      <c r="J106" s="2095"/>
      <c r="K106" s="2087"/>
      <c r="L106" s="2087"/>
      <c r="M106" s="2087"/>
      <c r="N106" s="2098"/>
      <c r="O106" s="2087"/>
      <c r="P106" s="2087"/>
      <c r="Q106" s="2087"/>
      <c r="R106" s="2085"/>
      <c r="S106" s="2087"/>
      <c r="T106" s="1225"/>
      <c r="U106" s="1225"/>
      <c r="V106" s="1225"/>
      <c r="W106" s="1226"/>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hidden="1" customHeight="1">
      <c r="A107" s="259"/>
      <c r="C107" s="147"/>
      <c r="D107" s="2099"/>
      <c r="E107" s="2088"/>
      <c r="F107" s="2102"/>
      <c r="G107" s="2088"/>
      <c r="H107" s="2091"/>
      <c r="I107" s="2093"/>
      <c r="J107" s="2096"/>
      <c r="K107" s="2087"/>
      <c r="L107" s="2087"/>
      <c r="M107" s="2087"/>
      <c r="N107" s="2085"/>
      <c r="O107" s="2087"/>
      <c r="P107" s="1399"/>
      <c r="Q107" s="1225"/>
      <c r="R107" s="1225"/>
      <c r="S107" s="267"/>
      <c r="T107" s="267"/>
      <c r="U107" s="267"/>
      <c r="V107" s="267"/>
      <c r="W107" s="1226"/>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hidden="1" customHeight="1">
      <c r="A108" s="259"/>
      <c r="C108" s="258"/>
      <c r="D108" s="2099"/>
      <c r="E108" s="2088"/>
      <c r="F108" s="2102"/>
      <c r="G108" s="2088"/>
      <c r="H108" s="2091"/>
      <c r="I108" s="2093"/>
      <c r="J108" s="2096"/>
      <c r="K108" s="2087"/>
      <c r="L108" s="1225"/>
      <c r="M108" s="1225"/>
      <c r="N108" s="1225"/>
      <c r="O108" s="1225"/>
      <c r="P108" s="1225"/>
      <c r="Q108" s="1225"/>
      <c r="R108" s="1225"/>
      <c r="S108" s="267"/>
      <c r="T108" s="267"/>
      <c r="U108" s="267"/>
      <c r="V108" s="267"/>
      <c r="W108" s="1226"/>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hidden="1" customHeight="1">
      <c r="A109" s="259"/>
      <c r="C109" s="258"/>
      <c r="D109" s="2100"/>
      <c r="E109" s="2089"/>
      <c r="F109" s="2103"/>
      <c r="G109" s="2089"/>
      <c r="H109" s="1227"/>
      <c r="I109" s="1228"/>
      <c r="J109" s="1228"/>
      <c r="K109" s="1228"/>
      <c r="L109" s="1228"/>
      <c r="M109" s="1228"/>
      <c r="N109" s="1228"/>
      <c r="O109" s="1228"/>
      <c r="P109" s="1228"/>
      <c r="Q109" s="1228"/>
      <c r="R109" s="1228"/>
      <c r="S109" s="1229"/>
      <c r="T109" s="1229"/>
      <c r="U109" s="1229"/>
      <c r="V109" s="1229"/>
      <c r="W109" s="1230"/>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hidden="1" customHeight="1">
      <c r="A110" s="259"/>
      <c r="C110" s="147"/>
      <c r="D110" s="2099">
        <v>2</v>
      </c>
      <c r="E110" s="2088" t="s">
        <v>252</v>
      </c>
      <c r="F110" s="2101" t="s">
        <v>19</v>
      </c>
      <c r="G110" s="2088"/>
      <c r="H110" s="2090"/>
      <c r="I110" s="2092"/>
      <c r="J110" s="2094"/>
      <c r="K110" s="2086"/>
      <c r="L110" s="2086"/>
      <c r="M110" s="2086"/>
      <c r="N110" s="2097"/>
      <c r="O110" s="2086"/>
      <c r="P110" s="2086"/>
      <c r="Q110" s="2086"/>
      <c r="R110" s="2084"/>
      <c r="S110" s="2086"/>
      <c r="T110" s="1398"/>
      <c r="U110" s="1398"/>
      <c r="V110" s="1400"/>
      <c r="W110" s="1224"/>
      <c r="X110" s="1195"/>
      <c r="Y110" s="1195"/>
      <c r="Z110" s="1195"/>
      <c r="AA110" s="1195"/>
      <c r="AB110" s="1195"/>
      <c r="AC110" s="1195" t="s">
        <v>253</v>
      </c>
      <c r="AD110" s="1195" t="s">
        <v>254</v>
      </c>
      <c r="AE110" s="1195" t="s">
        <v>255</v>
      </c>
      <c r="AF110" s="1195" t="s">
        <v>256</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hidden="1" customHeight="1">
      <c r="A111" s="259"/>
      <c r="C111" s="258"/>
      <c r="D111" s="2099"/>
      <c r="E111" s="2088"/>
      <c r="F111" s="2102"/>
      <c r="G111" s="2088"/>
      <c r="H111" s="2091"/>
      <c r="I111" s="2093"/>
      <c r="J111" s="2095"/>
      <c r="K111" s="2087"/>
      <c r="L111" s="2087"/>
      <c r="M111" s="2087"/>
      <c r="N111" s="2098"/>
      <c r="O111" s="2087"/>
      <c r="P111" s="2087"/>
      <c r="Q111" s="2087"/>
      <c r="R111" s="2085"/>
      <c r="S111" s="2087"/>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hidden="1" customHeight="1">
      <c r="A112" s="259"/>
      <c r="C112" s="258"/>
      <c r="D112" s="2100"/>
      <c r="E112" s="2089"/>
      <c r="F112" s="2102"/>
      <c r="G112" s="2089"/>
      <c r="H112" s="2091"/>
      <c r="I112" s="2093"/>
      <c r="J112" s="2096"/>
      <c r="K112" s="2087"/>
      <c r="L112" s="2087"/>
      <c r="M112" s="2087"/>
      <c r="N112" s="2085"/>
      <c r="O112" s="2087"/>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hidden="1" customHeight="1">
      <c r="A113" s="259"/>
      <c r="C113" s="258"/>
      <c r="D113" s="2100"/>
      <c r="E113" s="2089"/>
      <c r="F113" s="2102"/>
      <c r="G113" s="2089"/>
      <c r="H113" s="2091"/>
      <c r="I113" s="2093"/>
      <c r="J113" s="2096"/>
      <c r="K113" s="2087"/>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hidden="1" customHeight="1">
      <c r="A114" s="259"/>
      <c r="C114" s="258"/>
      <c r="D114" s="2100"/>
      <c r="E114" s="2089"/>
      <c r="F114" s="2103"/>
      <c r="G114" s="2089"/>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hidden="1" customHeight="1">
      <c r="A115" s="259"/>
      <c r="C115" s="147"/>
      <c r="D115" s="2099">
        <v>3</v>
      </c>
      <c r="E115" s="2088" t="s">
        <v>257</v>
      </c>
      <c r="F115" s="2101" t="s">
        <v>19</v>
      </c>
      <c r="G115" s="2088"/>
      <c r="H115" s="2090"/>
      <c r="I115" s="2092"/>
      <c r="J115" s="2094"/>
      <c r="K115" s="2086"/>
      <c r="L115" s="2086"/>
      <c r="M115" s="2086"/>
      <c r="N115" s="2097"/>
      <c r="O115" s="2086"/>
      <c r="P115" s="2086"/>
      <c r="Q115" s="2086"/>
      <c r="R115" s="2084"/>
      <c r="S115" s="2086"/>
      <c r="T115" s="1866"/>
      <c r="U115" s="1866"/>
      <c r="V115" s="1868"/>
      <c r="W115" s="1224"/>
      <c r="X115" s="1195"/>
      <c r="Y115" s="1195"/>
      <c r="Z115" s="1195"/>
      <c r="AA115" s="1195"/>
      <c r="AB115" s="1195"/>
      <c r="AC115" s="1195" t="s">
        <v>258</v>
      </c>
      <c r="AD115" s="1195" t="s">
        <v>259</v>
      </c>
      <c r="AE115" s="1195" t="s">
        <v>260</v>
      </c>
      <c r="AF115" s="1195" t="s">
        <v>261</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hidden="1" customHeight="1">
      <c r="A116" s="259"/>
      <c r="C116" s="258"/>
      <c r="D116" s="2099"/>
      <c r="E116" s="2088"/>
      <c r="F116" s="2102"/>
      <c r="G116" s="2088"/>
      <c r="H116" s="2091"/>
      <c r="I116" s="2093"/>
      <c r="J116" s="2095"/>
      <c r="K116" s="2087"/>
      <c r="L116" s="2087"/>
      <c r="M116" s="2087"/>
      <c r="N116" s="2098"/>
      <c r="O116" s="2087"/>
      <c r="P116" s="2087"/>
      <c r="Q116" s="2087"/>
      <c r="R116" s="2085"/>
      <c r="S116" s="2087"/>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hidden="1" customHeight="1">
      <c r="A117" s="259"/>
      <c r="C117" s="258"/>
      <c r="D117" s="2100"/>
      <c r="E117" s="2089"/>
      <c r="F117" s="2102"/>
      <c r="G117" s="2089"/>
      <c r="H117" s="2091"/>
      <c r="I117" s="2093"/>
      <c r="J117" s="2096"/>
      <c r="K117" s="2087"/>
      <c r="L117" s="2087"/>
      <c r="M117" s="2087"/>
      <c r="N117" s="2085"/>
      <c r="O117" s="2087"/>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hidden="1" customHeight="1">
      <c r="A118" s="259"/>
      <c r="C118" s="258"/>
      <c r="D118" s="2100"/>
      <c r="E118" s="2089"/>
      <c r="F118" s="2102"/>
      <c r="G118" s="2089"/>
      <c r="H118" s="2091"/>
      <c r="I118" s="2093"/>
      <c r="J118" s="2096"/>
      <c r="K118" s="2087"/>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hidden="1" customHeight="1">
      <c r="A119" s="259"/>
      <c r="C119" s="258"/>
      <c r="D119" s="2100"/>
      <c r="E119" s="2089"/>
      <c r="F119" s="2103"/>
      <c r="G119" s="2089"/>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hidden="1" customHeight="1">
      <c r="A121" s="259"/>
      <c r="C121" s="147"/>
      <c r="D121" s="2099">
        <v>1</v>
      </c>
      <c r="E121" s="2088" t="s">
        <v>262</v>
      </c>
      <c r="F121" s="2101" t="s">
        <v>19</v>
      </c>
      <c r="G121" s="2088"/>
      <c r="H121" s="2090"/>
      <c r="I121" s="2092"/>
      <c r="J121" s="2094"/>
      <c r="K121" s="2086"/>
      <c r="L121" s="2086"/>
      <c r="M121" s="2086"/>
      <c r="N121" s="2097"/>
      <c r="O121" s="2086"/>
      <c r="P121" s="2086"/>
      <c r="Q121" s="2086"/>
      <c r="R121" s="2084"/>
      <c r="S121" s="2086"/>
      <c r="T121" s="1398"/>
      <c r="U121" s="1398"/>
      <c r="V121" s="1400"/>
      <c r="W121" s="1224"/>
      <c r="Y121" s="1195"/>
      <c r="Z121" s="1195"/>
      <c r="AA121" s="1195"/>
      <c r="AB121" s="1195"/>
      <c r="AC121" s="1195" t="s">
        <v>263</v>
      </c>
      <c r="AD121" s="1195" t="s">
        <v>264</v>
      </c>
      <c r="AE121" s="1195" t="s">
        <v>265</v>
      </c>
      <c r="AF121" s="1195" t="s">
        <v>266</v>
      </c>
      <c r="AG121" s="1195"/>
      <c r="AH121" s="1195" t="str">
        <f>IF($E$121=0,"",$E$121)</f>
        <v>Тариф на водоотведение</v>
      </c>
      <c r="AI121" s="1195" t="str">
        <f>IF($G$121=0,"",$G$121)</f>
        <v/>
      </c>
      <c r="AJ121" s="1195" t="str">
        <f>IF($J$121=0,"",$J$121)</f>
        <v/>
      </c>
      <c r="AK121" s="1195" t="str">
        <f>IF($K$121="нет","без дифференциации",IF($N$121=0,"",$N$121))</f>
        <v/>
      </c>
      <c r="AL121" s="1195" t="str">
        <f>IF($O$121="нет","без дифференциации",IF($R$121=0,"",$R$121))</f>
        <v/>
      </c>
      <c r="AM121" s="1195" t="str">
        <f>IF($S$121="нет","без дифференциации",IF($V$121=0,"",$V$121))</f>
        <v/>
      </c>
      <c r="AN121" s="1195">
        <f>$I$121</f>
        <v>0</v>
      </c>
      <c r="AO121" s="1195" t="str">
        <f>$I$121&amp;"."&amp;$M$121</f>
        <v>.</v>
      </c>
      <c r="AP121" s="1195" t="str">
        <f>$I$121&amp;"."&amp;$M$121&amp;"."&amp;$Q$121</f>
        <v>..</v>
      </c>
      <c r="AQ121" s="1195" t="str">
        <f>$I$121&amp;"."&amp;$M$121&amp;"."&amp;$Q$121&amp;"."&amp;$U$121</f>
        <v>...</v>
      </c>
      <c r="AR121" s="1395">
        <v>0</v>
      </c>
    </row>
    <row r="122" spans="1:44" s="1779" customFormat="1" ht="17.25" hidden="1" customHeight="1">
      <c r="A122" s="259"/>
      <c r="C122" s="258"/>
      <c r="D122" s="2099"/>
      <c r="E122" s="2088"/>
      <c r="F122" s="2102"/>
      <c r="G122" s="2088"/>
      <c r="H122" s="2091"/>
      <c r="I122" s="2093"/>
      <c r="J122" s="2095"/>
      <c r="K122" s="2087"/>
      <c r="L122" s="2087"/>
      <c r="M122" s="2087"/>
      <c r="N122" s="2098"/>
      <c r="O122" s="2087"/>
      <c r="P122" s="2087"/>
      <c r="Q122" s="2087"/>
      <c r="R122" s="2085"/>
      <c r="S122" s="2087"/>
      <c r="T122" s="1225"/>
      <c r="U122" s="1225"/>
      <c r="V122" s="1225"/>
      <c r="W122" s="1226"/>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hidden="1" customHeight="1">
      <c r="A123" s="259"/>
      <c r="C123" s="147"/>
      <c r="D123" s="2099"/>
      <c r="E123" s="2088"/>
      <c r="F123" s="2102"/>
      <c r="G123" s="2088"/>
      <c r="H123" s="2091"/>
      <c r="I123" s="2093"/>
      <c r="J123" s="2096"/>
      <c r="K123" s="2087"/>
      <c r="L123" s="2087"/>
      <c r="M123" s="2087"/>
      <c r="N123" s="2085"/>
      <c r="O123" s="2087"/>
      <c r="P123" s="1399"/>
      <c r="Q123" s="1225"/>
      <c r="R123" s="1225"/>
      <c r="S123" s="267"/>
      <c r="T123" s="267"/>
      <c r="U123" s="267"/>
      <c r="V123" s="267"/>
      <c r="W123" s="1226"/>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hidden="1" customHeight="1">
      <c r="A124" s="259"/>
      <c r="C124" s="258"/>
      <c r="D124" s="2099"/>
      <c r="E124" s="2088"/>
      <c r="F124" s="2102"/>
      <c r="G124" s="2088"/>
      <c r="H124" s="2091"/>
      <c r="I124" s="2093"/>
      <c r="J124" s="2096"/>
      <c r="K124" s="2087"/>
      <c r="L124" s="1225"/>
      <c r="M124" s="1225"/>
      <c r="N124" s="1225"/>
      <c r="O124" s="1225"/>
      <c r="P124" s="1225"/>
      <c r="Q124" s="1225"/>
      <c r="R124" s="1225"/>
      <c r="S124" s="267"/>
      <c r="T124" s="267"/>
      <c r="U124" s="267"/>
      <c r="V124" s="267"/>
      <c r="W124" s="1226"/>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hidden="1" customHeight="1">
      <c r="A125" s="259"/>
      <c r="C125" s="258"/>
      <c r="D125" s="2100"/>
      <c r="E125" s="2089"/>
      <c r="F125" s="2103"/>
      <c r="G125" s="2089"/>
      <c r="H125" s="1227"/>
      <c r="I125" s="1228"/>
      <c r="J125" s="1228"/>
      <c r="K125" s="1228"/>
      <c r="L125" s="1228"/>
      <c r="M125" s="1228"/>
      <c r="N125" s="1228"/>
      <c r="O125" s="1228"/>
      <c r="P125" s="1228"/>
      <c r="Q125" s="1228"/>
      <c r="R125" s="1228"/>
      <c r="S125" s="1229"/>
      <c r="T125" s="1229"/>
      <c r="U125" s="1229"/>
      <c r="V125" s="1229"/>
      <c r="W125" s="1230"/>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hidden="1" customHeight="1">
      <c r="A126" s="259"/>
      <c r="C126" s="147"/>
      <c r="D126" s="2099">
        <v>2</v>
      </c>
      <c r="E126" s="2088" t="s">
        <v>267</v>
      </c>
      <c r="F126" s="2101" t="s">
        <v>19</v>
      </c>
      <c r="G126" s="2088"/>
      <c r="H126" s="2090"/>
      <c r="I126" s="2092"/>
      <c r="J126" s="2094"/>
      <c r="K126" s="2086"/>
      <c r="L126" s="2086"/>
      <c r="M126" s="2086"/>
      <c r="N126" s="2097"/>
      <c r="O126" s="2086"/>
      <c r="P126" s="2086"/>
      <c r="Q126" s="2086"/>
      <c r="R126" s="2084"/>
      <c r="S126" s="2086"/>
      <c r="T126" s="1398"/>
      <c r="U126" s="1398"/>
      <c r="V126" s="1400"/>
      <c r="W126" s="1224"/>
      <c r="X126" s="1195"/>
      <c r="Y126" s="1195"/>
      <c r="Z126" s="1195"/>
      <c r="AA126" s="1195"/>
      <c r="AB126" s="1195"/>
      <c r="AC126" s="1195" t="s">
        <v>268</v>
      </c>
      <c r="AD126" s="1195" t="s">
        <v>269</v>
      </c>
      <c r="AE126" s="1195" t="s">
        <v>270</v>
      </c>
      <c r="AF126" s="1195" t="s">
        <v>271</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hidden="1" customHeight="1">
      <c r="A127" s="259"/>
      <c r="C127" s="258"/>
      <c r="D127" s="2099"/>
      <c r="E127" s="2088"/>
      <c r="F127" s="2102"/>
      <c r="G127" s="2088"/>
      <c r="H127" s="2091"/>
      <c r="I127" s="2093"/>
      <c r="J127" s="2095"/>
      <c r="K127" s="2087"/>
      <c r="L127" s="2087"/>
      <c r="M127" s="2087"/>
      <c r="N127" s="2098"/>
      <c r="O127" s="2087"/>
      <c r="P127" s="2087"/>
      <c r="Q127" s="2087"/>
      <c r="R127" s="2085"/>
      <c r="S127" s="2087"/>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hidden="1" customHeight="1">
      <c r="A128" s="259"/>
      <c r="C128" s="258"/>
      <c r="D128" s="2100"/>
      <c r="E128" s="2089"/>
      <c r="F128" s="2102"/>
      <c r="G128" s="2089"/>
      <c r="H128" s="2091"/>
      <c r="I128" s="2093"/>
      <c r="J128" s="2096"/>
      <c r="K128" s="2087"/>
      <c r="L128" s="2087"/>
      <c r="M128" s="2087"/>
      <c r="N128" s="2085"/>
      <c r="O128" s="2087"/>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hidden="1" customHeight="1">
      <c r="A129" s="259"/>
      <c r="C129" s="258"/>
      <c r="D129" s="2100"/>
      <c r="E129" s="2089"/>
      <c r="F129" s="2102"/>
      <c r="G129" s="2089"/>
      <c r="H129" s="2091"/>
      <c r="I129" s="2093"/>
      <c r="J129" s="2096"/>
      <c r="K129" s="2087"/>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hidden="1" customHeight="1">
      <c r="A130" s="259"/>
      <c r="C130" s="258"/>
      <c r="D130" s="2100"/>
      <c r="E130" s="2089"/>
      <c r="F130" s="2103"/>
      <c r="G130" s="2089"/>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hidden="1" customHeight="1">
      <c r="A131" s="259"/>
      <c r="C131" s="147"/>
      <c r="D131" s="2099">
        <v>3</v>
      </c>
      <c r="E131" s="2088" t="s">
        <v>272</v>
      </c>
      <c r="F131" s="2101" t="s">
        <v>19</v>
      </c>
      <c r="G131" s="2088"/>
      <c r="H131" s="2090"/>
      <c r="I131" s="2092"/>
      <c r="J131" s="2094"/>
      <c r="K131" s="2086"/>
      <c r="L131" s="2086"/>
      <c r="M131" s="2086"/>
      <c r="N131" s="2097"/>
      <c r="O131" s="2086"/>
      <c r="P131" s="2086"/>
      <c r="Q131" s="2086"/>
      <c r="R131" s="2084"/>
      <c r="S131" s="2086"/>
      <c r="T131" s="1866"/>
      <c r="U131" s="1866"/>
      <c r="V131" s="1868"/>
      <c r="W131" s="1224"/>
      <c r="X131" s="1195"/>
      <c r="Y131" s="1195"/>
      <c r="Z131" s="1195"/>
      <c r="AA131" s="1195"/>
      <c r="AB131" s="1195"/>
      <c r="AC131" s="1195" t="s">
        <v>273</v>
      </c>
      <c r="AD131" s="1195" t="s">
        <v>274</v>
      </c>
      <c r="AE131" s="1195" t="s">
        <v>275</v>
      </c>
      <c r="AF131" s="1195" t="s">
        <v>276</v>
      </c>
      <c r="AG131" s="1195"/>
      <c r="AH131" s="1195" t="str">
        <f>IF($E$131=0,"",$E$131)</f>
        <v>Тариф на подключение (технологическое присоединение) к централизованной системе водоотведения</v>
      </c>
      <c r="AI131" s="1195" t="str">
        <f>IF($G$131=0,"",$G$131)</f>
        <v/>
      </c>
      <c r="AJ131" s="1195" t="str">
        <f>IF($J$131=0,"",$J$131)</f>
        <v/>
      </c>
      <c r="AK131" s="1195" t="str">
        <f>IF($K$131="нет","без дифференциации",IF($N$131=0,"",$N$131))</f>
        <v/>
      </c>
      <c r="AL131" s="1195" t="str">
        <f>IF($O$131="нет","без дифференциации",IF($R$131=0,"",$R$131))</f>
        <v/>
      </c>
      <c r="AM131" s="1195" t="str">
        <f>IF($S$131="нет","без дифференциации",IF($V$131=0,"",$V$131))</f>
        <v/>
      </c>
      <c r="AN131" s="1699">
        <f>$I$131</f>
        <v>0</v>
      </c>
      <c r="AO131" s="1195" t="str">
        <f>$I$131&amp;"."&amp;$M$131</f>
        <v>.</v>
      </c>
      <c r="AP131" s="1194" t="str">
        <f>$I$131&amp;"."&amp;$M$131&amp;"."&amp;$Q$131</f>
        <v>..</v>
      </c>
      <c r="AQ131" s="1194" t="str">
        <f>$I$131&amp;"."&amp;$M$131&amp;"."&amp;$Q$131&amp;"."&amp;$U$131</f>
        <v>...</v>
      </c>
      <c r="AR131" s="1395">
        <v>0</v>
      </c>
    </row>
    <row r="132" spans="1:44" s="1779" customFormat="1" ht="17.25" hidden="1" customHeight="1">
      <c r="A132" s="259"/>
      <c r="C132" s="258"/>
      <c r="D132" s="2099"/>
      <c r="E132" s="2088"/>
      <c r="F132" s="2102"/>
      <c r="G132" s="2088"/>
      <c r="H132" s="2091"/>
      <c r="I132" s="2093"/>
      <c r="J132" s="2095"/>
      <c r="K132" s="2087"/>
      <c r="L132" s="2087"/>
      <c r="M132" s="2087"/>
      <c r="N132" s="2098"/>
      <c r="O132" s="2087"/>
      <c r="P132" s="2087"/>
      <c r="Q132" s="2087"/>
      <c r="R132" s="2085"/>
      <c r="S132" s="2087"/>
      <c r="T132" s="1871"/>
      <c r="U132" s="1871"/>
      <c r="V132" s="1871"/>
      <c r="W132" s="1872"/>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hidden="1" customHeight="1">
      <c r="A133" s="259"/>
      <c r="C133" s="258"/>
      <c r="D133" s="2100"/>
      <c r="E133" s="2089"/>
      <c r="F133" s="2102"/>
      <c r="G133" s="2089"/>
      <c r="H133" s="2091"/>
      <c r="I133" s="2093"/>
      <c r="J133" s="2096"/>
      <c r="K133" s="2087"/>
      <c r="L133" s="2087"/>
      <c r="M133" s="2087"/>
      <c r="N133" s="2085"/>
      <c r="O133" s="2087"/>
      <c r="P133" s="1867"/>
      <c r="Q133" s="1871"/>
      <c r="R133" s="1871"/>
      <c r="S133" s="267"/>
      <c r="T133" s="267"/>
      <c r="U133" s="267"/>
      <c r="V133" s="267"/>
      <c r="W133" s="1872"/>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17.25" hidden="1" customHeight="1">
      <c r="A134" s="259"/>
      <c r="C134" s="258"/>
      <c r="D134" s="2100"/>
      <c r="E134" s="2089"/>
      <c r="F134" s="2102"/>
      <c r="G134" s="2089"/>
      <c r="H134" s="2091"/>
      <c r="I134" s="2093"/>
      <c r="J134" s="2096"/>
      <c r="K134" s="2087"/>
      <c r="L134" s="1871"/>
      <c r="M134" s="1871"/>
      <c r="N134" s="1871"/>
      <c r="O134" s="1871"/>
      <c r="P134" s="1871"/>
      <c r="Q134" s="1871"/>
      <c r="R134" s="1871"/>
      <c r="S134" s="267"/>
      <c r="T134" s="267"/>
      <c r="U134" s="267"/>
      <c r="V134" s="267"/>
      <c r="W134" s="1872"/>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7.25" hidden="1" customHeight="1">
      <c r="A135" s="259"/>
      <c r="C135" s="258"/>
      <c r="D135" s="2100"/>
      <c r="E135" s="2089"/>
      <c r="F135" s="2103"/>
      <c r="G135" s="2089"/>
      <c r="H135" s="1227"/>
      <c r="I135" s="1869"/>
      <c r="J135" s="1869"/>
      <c r="K135" s="1869"/>
      <c r="L135" s="1869"/>
      <c r="M135" s="1869"/>
      <c r="N135" s="1869"/>
      <c r="O135" s="1869"/>
      <c r="P135" s="1869"/>
      <c r="Q135" s="1869"/>
      <c r="R135" s="1869"/>
      <c r="S135" s="1229"/>
      <c r="T135" s="1229"/>
      <c r="U135" s="1229"/>
      <c r="V135" s="1229"/>
      <c r="W135" s="1870"/>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45" customHeight="1">
      <c r="AR136" s="44">
        <v>11</v>
      </c>
    </row>
    <row r="137" spans="1:44" ht="11.45" customHeight="1">
      <c r="AR137" s="44">
        <v>11</v>
      </c>
    </row>
    <row r="138" spans="1:44" ht="11.45" customHeight="1">
      <c r="AR138" s="44">
        <v>11</v>
      </c>
    </row>
    <row r="139" spans="1:44" ht="11.45" customHeight="1">
      <c r="E139" s="1278"/>
      <c r="AR139" s="44">
        <v>11</v>
      </c>
    </row>
    <row r="140" spans="1:44" ht="11.45" customHeight="1">
      <c r="E140" s="1278"/>
      <c r="AR140" s="44">
        <v>11</v>
      </c>
    </row>
    <row r="141" spans="1:44" ht="11.45" customHeight="1">
      <c r="E141" s="1278"/>
      <c r="AR141" s="44">
        <v>11</v>
      </c>
    </row>
    <row r="142" spans="1:44" ht="11.45" customHeight="1">
      <c r="E142" s="1278"/>
      <c r="AR142" s="44">
        <v>11</v>
      </c>
    </row>
    <row r="143" spans="1:44" ht="11.45" customHeight="1">
      <c r="E143" s="1278"/>
      <c r="AR143" s="44">
        <v>11</v>
      </c>
    </row>
    <row r="144" spans="1:44" ht="11.45" customHeight="1">
      <c r="E144" s="1278"/>
      <c r="AR144" s="44">
        <v>11</v>
      </c>
    </row>
    <row r="145" spans="1:44" ht="11.45" customHeight="1">
      <c r="E145" s="1278"/>
      <c r="AR145" s="44">
        <v>11</v>
      </c>
    </row>
    <row r="146" spans="1:44" ht="11.25" hidden="1" customHeight="1">
      <c r="A146" s="91" t="s">
        <v>81</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406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277</v>
      </c>
      <c r="M2" s="1481" t="s">
        <v>278</v>
      </c>
      <c r="R2" s="1481" t="s">
        <v>279</v>
      </c>
      <c r="S2" s="1481" t="s">
        <v>278</v>
      </c>
      <c r="X2" s="1481" t="s">
        <v>277</v>
      </c>
      <c r="Y2" s="1481" t="s">
        <v>278</v>
      </c>
      <c r="AD2" s="1481" t="s">
        <v>277</v>
      </c>
      <c r="AE2" s="1481" t="s">
        <v>278</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4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124" t="s">
        <v>280</v>
      </c>
      <c r="E4" s="2124"/>
      <c r="F4" s="2124"/>
      <c r="G4" s="2124"/>
      <c r="H4" s="2124"/>
      <c r="I4" s="2124"/>
      <c r="J4" s="2124"/>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65" customHeight="1">
      <c r="A5" s="1560"/>
      <c r="B5" s="1559"/>
      <c r="C5" s="1443"/>
      <c r="D5" s="2147" t="str">
        <f>IF(org=0,"Не определено",org)</f>
        <v>ООО "Профит"</v>
      </c>
      <c r="E5" s="2147"/>
      <c r="F5" s="2147"/>
      <c r="G5" s="2147"/>
      <c r="H5" s="2147"/>
      <c r="I5" s="2147"/>
      <c r="J5" s="2147"/>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65"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1499999999999999"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066" t="s">
        <v>87</v>
      </c>
      <c r="E8" s="2066" t="s">
        <v>104</v>
      </c>
      <c r="F8" s="2126" t="s">
        <v>122</v>
      </c>
      <c r="G8" s="2127"/>
      <c r="H8" s="2126" t="s">
        <v>87</v>
      </c>
      <c r="I8" s="2127"/>
      <c r="J8" s="2066" t="s">
        <v>123</v>
      </c>
      <c r="K8" s="1484"/>
      <c r="L8" s="2125" t="s">
        <v>281</v>
      </c>
      <c r="M8" s="2125"/>
      <c r="N8" s="2125"/>
      <c r="O8" s="2125"/>
      <c r="P8" s="2125"/>
      <c r="Q8" s="1485"/>
      <c r="R8" s="2048" t="s">
        <v>282</v>
      </c>
      <c r="S8" s="2053"/>
      <c r="T8" s="2053"/>
      <c r="U8" s="2053"/>
      <c r="V8" s="2053"/>
      <c r="W8" s="1485"/>
      <c r="X8" s="2066" t="s">
        <v>283</v>
      </c>
      <c r="Y8" s="2066"/>
      <c r="Z8" s="2066"/>
      <c r="AA8" s="2066"/>
      <c r="AB8" s="2066"/>
      <c r="AC8" s="1486"/>
      <c r="AD8" s="2066" t="s">
        <v>284</v>
      </c>
      <c r="AE8" s="2066"/>
      <c r="AF8" s="2066"/>
      <c r="AG8" s="2066"/>
      <c r="AH8" s="2048"/>
      <c r="AI8" s="2066" t="s">
        <v>285</v>
      </c>
      <c r="AJ8" s="1502"/>
      <c r="BM8" s="231">
        <v>32</v>
      </c>
    </row>
    <row r="9" spans="1:65" ht="23.25" customHeight="1">
      <c r="D9" s="2066"/>
      <c r="E9" s="2066"/>
      <c r="F9" s="2125" t="s">
        <v>88</v>
      </c>
      <c r="G9" s="2125" t="s">
        <v>128</v>
      </c>
      <c r="H9" s="2128"/>
      <c r="I9" s="2129"/>
      <c r="J9" s="2048"/>
      <c r="K9" s="1487"/>
      <c r="L9" s="2066" t="s">
        <v>286</v>
      </c>
      <c r="M9" s="2048"/>
      <c r="N9" s="2126" t="s">
        <v>87</v>
      </c>
      <c r="O9" s="2127"/>
      <c r="P9" s="2066" t="s">
        <v>129</v>
      </c>
      <c r="Q9" s="1484"/>
      <c r="R9" s="2066" t="s">
        <v>286</v>
      </c>
      <c r="S9" s="2048"/>
      <c r="T9" s="2126" t="s">
        <v>87</v>
      </c>
      <c r="U9" s="2127"/>
      <c r="V9" s="2066" t="s">
        <v>129</v>
      </c>
      <c r="W9" s="1484"/>
      <c r="X9" s="2066" t="s">
        <v>286</v>
      </c>
      <c r="Y9" s="2048"/>
      <c r="Z9" s="2126" t="s">
        <v>87</v>
      </c>
      <c r="AA9" s="2127"/>
      <c r="AB9" s="2066" t="s">
        <v>287</v>
      </c>
      <c r="AC9" s="1484"/>
      <c r="AD9" s="2066" t="s">
        <v>286</v>
      </c>
      <c r="AE9" s="2048"/>
      <c r="AF9" s="2126" t="s">
        <v>87</v>
      </c>
      <c r="AG9" s="2127"/>
      <c r="AH9" s="2048" t="s">
        <v>287</v>
      </c>
      <c r="AI9" s="2066"/>
      <c r="AJ9" s="1502"/>
      <c r="BM9" s="231">
        <v>22</v>
      </c>
    </row>
    <row r="10" spans="1:65" ht="24" customHeight="1">
      <c r="D10" s="2125"/>
      <c r="E10" s="2125"/>
      <c r="F10" s="2130"/>
      <c r="G10" s="2130"/>
      <c r="H10" s="2131"/>
      <c r="I10" s="2132"/>
      <c r="J10" s="2126"/>
      <c r="K10" s="1487"/>
      <c r="L10" s="1506" t="s">
        <v>288</v>
      </c>
      <c r="M10" s="1501" t="s">
        <v>289</v>
      </c>
      <c r="N10" s="2128"/>
      <c r="O10" s="2129"/>
      <c r="P10" s="2125"/>
      <c r="Q10" s="1484"/>
      <c r="R10" s="1506" t="s">
        <v>288</v>
      </c>
      <c r="S10" s="1501" t="s">
        <v>289</v>
      </c>
      <c r="T10" s="2128"/>
      <c r="U10" s="2129"/>
      <c r="V10" s="2125"/>
      <c r="W10" s="1484"/>
      <c r="X10" s="1506" t="s">
        <v>288</v>
      </c>
      <c r="Y10" s="1501" t="s">
        <v>289</v>
      </c>
      <c r="Z10" s="2128"/>
      <c r="AA10" s="2129"/>
      <c r="AB10" s="2125"/>
      <c r="AC10" s="1484"/>
      <c r="AD10" s="1506" t="s">
        <v>288</v>
      </c>
      <c r="AE10" s="1501" t="s">
        <v>289</v>
      </c>
      <c r="AF10" s="2128"/>
      <c r="AG10" s="2129"/>
      <c r="AH10" s="2126"/>
      <c r="AI10" s="2125"/>
      <c r="AJ10" s="1502"/>
      <c r="AK10" s="192" t="s">
        <v>290</v>
      </c>
      <c r="AL10" s="192" t="s">
        <v>130</v>
      </c>
      <c r="BM10" s="231">
        <v>23</v>
      </c>
    </row>
    <row r="11" spans="1:65" ht="15" customHeight="1">
      <c r="D11" s="2133" t="s">
        <v>108</v>
      </c>
      <c r="E11" s="2135" t="s">
        <v>291</v>
      </c>
      <c r="F11" s="2135" t="s">
        <v>292</v>
      </c>
      <c r="G11" s="2138" t="s">
        <v>19</v>
      </c>
      <c r="H11" s="1527"/>
      <c r="I11" s="2140"/>
      <c r="J11" s="2094"/>
      <c r="K11" s="1442"/>
      <c r="L11" s="2086"/>
      <c r="M11" s="2086"/>
      <c r="N11" s="1512"/>
      <c r="O11" s="2086"/>
      <c r="P11" s="2094"/>
      <c r="Q11" s="1513"/>
      <c r="R11" s="2086"/>
      <c r="S11" s="2086"/>
      <c r="T11" s="1514"/>
      <c r="U11" s="2086"/>
      <c r="V11" s="2094"/>
      <c r="W11" s="1515"/>
      <c r="X11" s="2086"/>
      <c r="Y11" s="2086"/>
      <c r="Z11" s="1512"/>
      <c r="AA11" s="2086"/>
      <c r="AB11" s="2094"/>
      <c r="AC11" s="1516"/>
      <c r="AD11" s="2086"/>
      <c r="AE11" s="2086"/>
      <c r="AF11" s="1441"/>
      <c r="AG11" s="1441"/>
      <c r="AH11" s="1517"/>
      <c r="AI11" s="1224"/>
      <c r="AJ11" s="1502"/>
      <c r="BM11" s="231">
        <v>14</v>
      </c>
    </row>
    <row r="12" spans="1:65" ht="14.65" customHeight="1">
      <c r="D12" s="2133"/>
      <c r="E12" s="2135"/>
      <c r="F12" s="2135"/>
      <c r="G12" s="2139"/>
      <c r="H12" s="1528"/>
      <c r="I12" s="2141"/>
      <c r="J12" s="2095"/>
      <c r="K12" s="1538"/>
      <c r="L12" s="2087"/>
      <c r="M12" s="2087"/>
      <c r="N12" s="1518"/>
      <c r="O12" s="2087"/>
      <c r="P12" s="2095"/>
      <c r="Q12" s="1519"/>
      <c r="R12" s="2087"/>
      <c r="S12" s="2087"/>
      <c r="T12" s="1520"/>
      <c r="U12" s="2087"/>
      <c r="V12" s="2095"/>
      <c r="W12" s="1521"/>
      <c r="X12" s="2087"/>
      <c r="Y12" s="2087"/>
      <c r="Z12" s="1518"/>
      <c r="AA12" s="2087"/>
      <c r="AB12" s="2095"/>
      <c r="AC12" s="1522"/>
      <c r="AD12" s="2087"/>
      <c r="AE12" s="2087"/>
      <c r="AF12" s="1523"/>
      <c r="AG12" s="1523"/>
      <c r="AH12" s="2144"/>
      <c r="AI12" s="2145"/>
      <c r="AJ12" s="1502"/>
      <c r="BM12" s="231">
        <v>14</v>
      </c>
    </row>
    <row r="13" spans="1:65" ht="14.65" customHeight="1">
      <c r="D13" s="2133"/>
      <c r="E13" s="2135"/>
      <c r="F13" s="2135"/>
      <c r="G13" s="2139"/>
      <c r="H13" s="1528"/>
      <c r="I13" s="2141"/>
      <c r="J13" s="2095"/>
      <c r="K13" s="1538"/>
      <c r="L13" s="2087"/>
      <c r="M13" s="2087"/>
      <c r="N13" s="1518"/>
      <c r="O13" s="2087"/>
      <c r="P13" s="2095"/>
      <c r="Q13" s="1519"/>
      <c r="R13" s="2087"/>
      <c r="S13" s="2087"/>
      <c r="T13" s="1520"/>
      <c r="U13" s="2087"/>
      <c r="V13" s="2095"/>
      <c r="W13" s="1521"/>
      <c r="X13" s="2087"/>
      <c r="Y13" s="2087"/>
      <c r="Z13" s="1440"/>
      <c r="AA13" s="1523"/>
      <c r="AB13" s="2144"/>
      <c r="AC13" s="2144"/>
      <c r="AD13" s="2144"/>
      <c r="AE13" s="2144"/>
      <c r="AF13" s="2144"/>
      <c r="AG13" s="2144"/>
      <c r="AH13" s="2144"/>
      <c r="AI13" s="2145"/>
      <c r="AJ13" s="1502"/>
      <c r="BM13" s="231">
        <v>14</v>
      </c>
    </row>
    <row r="14" spans="1:65" ht="14.65" customHeight="1">
      <c r="D14" s="2133"/>
      <c r="E14" s="2135"/>
      <c r="F14" s="2135"/>
      <c r="G14" s="2139"/>
      <c r="H14" s="1528"/>
      <c r="I14" s="2141"/>
      <c r="J14" s="2095"/>
      <c r="K14" s="1538"/>
      <c r="L14" s="2087"/>
      <c r="M14" s="2087"/>
      <c r="N14" s="1518"/>
      <c r="O14" s="2087"/>
      <c r="P14" s="2095"/>
      <c r="Q14" s="1519"/>
      <c r="R14" s="2087"/>
      <c r="S14" s="2087"/>
      <c r="T14" s="1524"/>
      <c r="U14" s="1525"/>
      <c r="V14" s="2144"/>
      <c r="W14" s="2144"/>
      <c r="X14" s="2144"/>
      <c r="Y14" s="2144"/>
      <c r="Z14" s="2144"/>
      <c r="AA14" s="2144"/>
      <c r="AB14" s="2144"/>
      <c r="AC14" s="2144"/>
      <c r="AD14" s="2144"/>
      <c r="AE14" s="2144"/>
      <c r="AF14" s="2144"/>
      <c r="AG14" s="2144"/>
      <c r="AH14" s="2144"/>
      <c r="AI14" s="2145"/>
      <c r="AJ14" s="1502"/>
      <c r="BM14" s="231">
        <v>14</v>
      </c>
    </row>
    <row r="15" spans="1:65" ht="11.45" customHeight="1">
      <c r="D15" s="2133"/>
      <c r="E15" s="2135"/>
      <c r="F15" s="2135"/>
      <c r="G15" s="2139"/>
      <c r="H15" s="1529"/>
      <c r="I15" s="2141"/>
      <c r="J15" s="2095"/>
      <c r="K15" s="1538"/>
      <c r="L15" s="2087"/>
      <c r="M15" s="2087"/>
      <c r="N15" s="1523"/>
      <c r="O15" s="1523"/>
      <c r="P15" s="2144"/>
      <c r="Q15" s="2144"/>
      <c r="R15" s="2144"/>
      <c r="S15" s="2144"/>
      <c r="T15" s="2144"/>
      <c r="U15" s="2144"/>
      <c r="V15" s="2144"/>
      <c r="W15" s="2144"/>
      <c r="X15" s="2144"/>
      <c r="Y15" s="2144"/>
      <c r="Z15" s="2144"/>
      <c r="AA15" s="2144"/>
      <c r="AB15" s="2144"/>
      <c r="AC15" s="2144"/>
      <c r="AD15" s="2144"/>
      <c r="AE15" s="2144"/>
      <c r="AF15" s="2144"/>
      <c r="AG15" s="2144"/>
      <c r="AH15" s="2144"/>
      <c r="AI15" s="2145"/>
      <c r="AJ15" s="1502"/>
      <c r="BM15" s="231">
        <v>11</v>
      </c>
    </row>
    <row r="16" spans="1:65" s="1482" customFormat="1" ht="11.45" customHeight="1">
      <c r="D16" s="2134"/>
      <c r="E16" s="2136"/>
      <c r="F16" s="2137"/>
      <c r="G16" s="2081"/>
      <c r="H16" s="1526"/>
      <c r="I16" s="1530"/>
      <c r="J16" s="2142"/>
      <c r="K16" s="2142"/>
      <c r="L16" s="2142"/>
      <c r="M16" s="2142"/>
      <c r="N16" s="2142"/>
      <c r="O16" s="2142"/>
      <c r="P16" s="2142"/>
      <c r="Q16" s="2142"/>
      <c r="R16" s="2142"/>
      <c r="S16" s="2142"/>
      <c r="T16" s="2142"/>
      <c r="U16" s="2142"/>
      <c r="V16" s="2142"/>
      <c r="W16" s="2142"/>
      <c r="X16" s="2142"/>
      <c r="Y16" s="2142"/>
      <c r="Z16" s="2142"/>
      <c r="AA16" s="2142"/>
      <c r="AB16" s="2142"/>
      <c r="AC16" s="2142"/>
      <c r="AD16" s="2142"/>
      <c r="AE16" s="2142"/>
      <c r="AF16" s="2142"/>
      <c r="AG16" s="2142"/>
      <c r="AH16" s="2142"/>
      <c r="AI16" s="2143"/>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133" t="s">
        <v>109</v>
      </c>
      <c r="E17" s="2135" t="s">
        <v>291</v>
      </c>
      <c r="F17" s="2135" t="s">
        <v>293</v>
      </c>
      <c r="G17" s="2138" t="s">
        <v>19</v>
      </c>
      <c r="H17" s="1527"/>
      <c r="I17" s="2140"/>
      <c r="J17" s="2094"/>
      <c r="K17" s="1442"/>
      <c r="L17" s="2086"/>
      <c r="M17" s="2086"/>
      <c r="N17" s="1512"/>
      <c r="O17" s="2086"/>
      <c r="P17" s="2094"/>
      <c r="Q17" s="1513"/>
      <c r="R17" s="2086"/>
      <c r="S17" s="2086"/>
      <c r="T17" s="1514"/>
      <c r="U17" s="2086"/>
      <c r="V17" s="2094"/>
      <c r="W17" s="1515"/>
      <c r="X17" s="2086"/>
      <c r="Y17" s="2086"/>
      <c r="Z17" s="1512"/>
      <c r="AA17" s="2086"/>
      <c r="AB17" s="2094"/>
      <c r="AC17" s="1516"/>
      <c r="AD17" s="2086"/>
      <c r="AE17" s="2086"/>
      <c r="AF17" s="1441"/>
      <c r="AG17" s="1441"/>
      <c r="AH17" s="1517"/>
      <c r="AI17" s="1224"/>
      <c r="AJ17" s="1502"/>
      <c r="BM17" s="231">
        <v>14</v>
      </c>
    </row>
    <row r="18" spans="4:65" ht="14.65" customHeight="1">
      <c r="D18" s="2133"/>
      <c r="E18" s="2135"/>
      <c r="F18" s="2135"/>
      <c r="G18" s="2139"/>
      <c r="H18" s="1528"/>
      <c r="I18" s="2141"/>
      <c r="J18" s="2095"/>
      <c r="K18" s="1511"/>
      <c r="L18" s="2087"/>
      <c r="M18" s="2087"/>
      <c r="N18" s="1518"/>
      <c r="O18" s="2087"/>
      <c r="P18" s="2095"/>
      <c r="Q18" s="1519"/>
      <c r="R18" s="2087"/>
      <c r="S18" s="2087"/>
      <c r="T18" s="1520"/>
      <c r="U18" s="2087"/>
      <c r="V18" s="2095"/>
      <c r="W18" s="1521"/>
      <c r="X18" s="2087"/>
      <c r="Y18" s="2087"/>
      <c r="Z18" s="1518"/>
      <c r="AA18" s="2087"/>
      <c r="AB18" s="2095"/>
      <c r="AC18" s="1522"/>
      <c r="AD18" s="2087"/>
      <c r="AE18" s="2087"/>
      <c r="AF18" s="1523"/>
      <c r="AG18" s="1523"/>
      <c r="AH18" s="2144"/>
      <c r="AI18" s="2145"/>
      <c r="AJ18" s="1502"/>
      <c r="BM18" s="231">
        <v>14</v>
      </c>
    </row>
    <row r="19" spans="4:65" ht="14.65" customHeight="1">
      <c r="D19" s="2133"/>
      <c r="E19" s="2135"/>
      <c r="F19" s="2135"/>
      <c r="G19" s="2139"/>
      <c r="H19" s="1528"/>
      <c r="I19" s="2141"/>
      <c r="J19" s="2095"/>
      <c r="K19" s="1511"/>
      <c r="L19" s="2087"/>
      <c r="M19" s="2087"/>
      <c r="N19" s="1518"/>
      <c r="O19" s="2087"/>
      <c r="P19" s="2095"/>
      <c r="Q19" s="1519"/>
      <c r="R19" s="2087"/>
      <c r="S19" s="2087"/>
      <c r="T19" s="1520"/>
      <c r="U19" s="2087"/>
      <c r="V19" s="2095"/>
      <c r="W19" s="1521"/>
      <c r="X19" s="2087"/>
      <c r="Y19" s="2087"/>
      <c r="Z19" s="1440"/>
      <c r="AA19" s="1523"/>
      <c r="AB19" s="2144"/>
      <c r="AC19" s="2144"/>
      <c r="AD19" s="2144"/>
      <c r="AE19" s="2144"/>
      <c r="AF19" s="2144"/>
      <c r="AG19" s="2144"/>
      <c r="AH19" s="2144"/>
      <c r="AI19" s="2145"/>
      <c r="AJ19" s="1502"/>
      <c r="BM19" s="231">
        <v>14</v>
      </c>
    </row>
    <row r="20" spans="4:65" ht="14.65" customHeight="1">
      <c r="D20" s="2133"/>
      <c r="E20" s="2135"/>
      <c r="F20" s="2135"/>
      <c r="G20" s="2139"/>
      <c r="H20" s="1528"/>
      <c r="I20" s="2141"/>
      <c r="J20" s="2095"/>
      <c r="K20" s="1511"/>
      <c r="L20" s="2087"/>
      <c r="M20" s="2087"/>
      <c r="N20" s="1518"/>
      <c r="O20" s="2087"/>
      <c r="P20" s="2095"/>
      <c r="Q20" s="1519"/>
      <c r="R20" s="2087"/>
      <c r="S20" s="2087"/>
      <c r="T20" s="1524"/>
      <c r="U20" s="1525"/>
      <c r="V20" s="2144"/>
      <c r="W20" s="2144"/>
      <c r="X20" s="2144"/>
      <c r="Y20" s="2144"/>
      <c r="Z20" s="2144"/>
      <c r="AA20" s="2144"/>
      <c r="AB20" s="2144"/>
      <c r="AC20" s="2144"/>
      <c r="AD20" s="2144"/>
      <c r="AE20" s="2144"/>
      <c r="AF20" s="2144"/>
      <c r="AG20" s="2144"/>
      <c r="AH20" s="2144"/>
      <c r="AI20" s="2145"/>
      <c r="AJ20" s="1502"/>
      <c r="BM20" s="231">
        <v>14</v>
      </c>
    </row>
    <row r="21" spans="4:65" ht="11.45" customHeight="1">
      <c r="D21" s="2133"/>
      <c r="E21" s="2135"/>
      <c r="F21" s="2135"/>
      <c r="G21" s="2139"/>
      <c r="H21" s="1529"/>
      <c r="I21" s="2141"/>
      <c r="J21" s="2095"/>
      <c r="K21" s="1511"/>
      <c r="L21" s="2087"/>
      <c r="M21" s="2087"/>
      <c r="N21" s="1523"/>
      <c r="O21" s="1523"/>
      <c r="P21" s="2144"/>
      <c r="Q21" s="2144"/>
      <c r="R21" s="2144"/>
      <c r="S21" s="2144"/>
      <c r="T21" s="2144"/>
      <c r="U21" s="2144"/>
      <c r="V21" s="2144"/>
      <c r="W21" s="2144"/>
      <c r="X21" s="2144"/>
      <c r="Y21" s="2144"/>
      <c r="Z21" s="2144"/>
      <c r="AA21" s="2144"/>
      <c r="AB21" s="2144"/>
      <c r="AC21" s="2144"/>
      <c r="AD21" s="2144"/>
      <c r="AE21" s="2144"/>
      <c r="AF21" s="2144"/>
      <c r="AG21" s="2144"/>
      <c r="AH21" s="2144"/>
      <c r="AI21" s="2145"/>
      <c r="AJ21" s="1502"/>
      <c r="BM21" s="231">
        <v>11</v>
      </c>
    </row>
    <row r="22" spans="4:65" s="1482" customFormat="1" ht="11.45" customHeight="1">
      <c r="D22" s="2134"/>
      <c r="E22" s="2136"/>
      <c r="F22" s="2137"/>
      <c r="G22" s="2081"/>
      <c r="H22" s="1526"/>
      <c r="I22" s="1530"/>
      <c r="J22" s="2142"/>
      <c r="K22" s="2142"/>
      <c r="L22" s="2142"/>
      <c r="M22" s="2142"/>
      <c r="N22" s="2142"/>
      <c r="O22" s="2142"/>
      <c r="P22" s="2142"/>
      <c r="Q22" s="2142"/>
      <c r="R22" s="2142"/>
      <c r="S22" s="2142"/>
      <c r="T22" s="2142"/>
      <c r="U22" s="2142"/>
      <c r="V22" s="2142"/>
      <c r="W22" s="2142"/>
      <c r="X22" s="2142"/>
      <c r="Y22" s="2142"/>
      <c r="Z22" s="2142"/>
      <c r="AA22" s="2142"/>
      <c r="AB22" s="2142"/>
      <c r="AC22" s="2142"/>
      <c r="AD22" s="2142"/>
      <c r="AE22" s="2142"/>
      <c r="AF22" s="2142"/>
      <c r="AG22" s="2142"/>
      <c r="AH22" s="2142"/>
      <c r="AI22" s="2143"/>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133" t="s">
        <v>89</v>
      </c>
      <c r="E23" s="2135" t="s">
        <v>291</v>
      </c>
      <c r="F23" s="2135" t="s">
        <v>294</v>
      </c>
      <c r="G23" s="2138" t="s">
        <v>19</v>
      </c>
      <c r="H23" s="1527"/>
      <c r="I23" s="2140"/>
      <c r="J23" s="2094"/>
      <c r="K23" s="1442"/>
      <c r="L23" s="2086"/>
      <c r="M23" s="2086"/>
      <c r="N23" s="1512"/>
      <c r="O23" s="2086"/>
      <c r="P23" s="2094"/>
      <c r="Q23" s="1513"/>
      <c r="R23" s="2086"/>
      <c r="S23" s="2086"/>
      <c r="T23" s="1514"/>
      <c r="U23" s="2086"/>
      <c r="V23" s="2094"/>
      <c r="W23" s="1515"/>
      <c r="X23" s="2086"/>
      <c r="Y23" s="2086"/>
      <c r="Z23" s="1512"/>
      <c r="AA23" s="2086"/>
      <c r="AB23" s="2094"/>
      <c r="AC23" s="1516"/>
      <c r="AD23" s="2086"/>
      <c r="AE23" s="2086"/>
      <c r="AF23" s="1441"/>
      <c r="AG23" s="1441"/>
      <c r="AH23" s="1517"/>
      <c r="AI23" s="1224"/>
      <c r="AJ23" s="1502"/>
      <c r="AK23" s="244" t="s">
        <v>97</v>
      </c>
      <c r="BM23" s="231">
        <v>14</v>
      </c>
    </row>
    <row r="24" spans="4:65" ht="14.65" customHeight="1">
      <c r="D24" s="2133"/>
      <c r="E24" s="2135"/>
      <c r="F24" s="2135"/>
      <c r="G24" s="2139"/>
      <c r="H24" s="1528"/>
      <c r="I24" s="2141"/>
      <c r="J24" s="2095"/>
      <c r="K24" s="1538"/>
      <c r="L24" s="2087"/>
      <c r="M24" s="2087"/>
      <c r="N24" s="1518"/>
      <c r="O24" s="2087"/>
      <c r="P24" s="2095"/>
      <c r="Q24" s="1519"/>
      <c r="R24" s="2087"/>
      <c r="S24" s="2087"/>
      <c r="T24" s="1520"/>
      <c r="U24" s="2087"/>
      <c r="V24" s="2095"/>
      <c r="W24" s="1521"/>
      <c r="X24" s="2087"/>
      <c r="Y24" s="2087"/>
      <c r="Z24" s="1518"/>
      <c r="AA24" s="2087"/>
      <c r="AB24" s="2095"/>
      <c r="AC24" s="1522"/>
      <c r="AD24" s="2087"/>
      <c r="AE24" s="2087"/>
      <c r="AF24" s="1523"/>
      <c r="AG24" s="1523"/>
      <c r="AH24" s="2144"/>
      <c r="AI24" s="2145"/>
      <c r="AJ24" s="1502"/>
      <c r="BM24" s="231">
        <v>14</v>
      </c>
    </row>
    <row r="25" spans="4:65" ht="14.65" customHeight="1">
      <c r="D25" s="2133"/>
      <c r="E25" s="2135"/>
      <c r="F25" s="2135"/>
      <c r="G25" s="2139"/>
      <c r="H25" s="1528"/>
      <c r="I25" s="2141"/>
      <c r="J25" s="2095"/>
      <c r="K25" s="1538"/>
      <c r="L25" s="2087"/>
      <c r="M25" s="2087"/>
      <c r="N25" s="1518"/>
      <c r="O25" s="2087"/>
      <c r="P25" s="2095"/>
      <c r="Q25" s="1519"/>
      <c r="R25" s="2087"/>
      <c r="S25" s="2087"/>
      <c r="T25" s="1520"/>
      <c r="U25" s="2087"/>
      <c r="V25" s="2095"/>
      <c r="W25" s="1521"/>
      <c r="X25" s="2087"/>
      <c r="Y25" s="2087"/>
      <c r="Z25" s="1440"/>
      <c r="AA25" s="1523"/>
      <c r="AB25" s="2144"/>
      <c r="AC25" s="2144"/>
      <c r="AD25" s="2144"/>
      <c r="AE25" s="2144"/>
      <c r="AF25" s="2144"/>
      <c r="AG25" s="2144"/>
      <c r="AH25" s="2144"/>
      <c r="AI25" s="2145"/>
      <c r="AJ25" s="1502"/>
      <c r="BM25" s="231">
        <v>14</v>
      </c>
    </row>
    <row r="26" spans="4:65" ht="14.65" customHeight="1">
      <c r="D26" s="2133"/>
      <c r="E26" s="2135"/>
      <c r="F26" s="2135"/>
      <c r="G26" s="2139"/>
      <c r="H26" s="1528"/>
      <c r="I26" s="2141"/>
      <c r="J26" s="2095"/>
      <c r="K26" s="1538"/>
      <c r="L26" s="2087"/>
      <c r="M26" s="2087"/>
      <c r="N26" s="1518"/>
      <c r="O26" s="2087"/>
      <c r="P26" s="2095"/>
      <c r="Q26" s="1519"/>
      <c r="R26" s="2087"/>
      <c r="S26" s="2087"/>
      <c r="T26" s="1524"/>
      <c r="U26" s="1525"/>
      <c r="V26" s="2144"/>
      <c r="W26" s="2144"/>
      <c r="X26" s="2144"/>
      <c r="Y26" s="2144"/>
      <c r="Z26" s="2144"/>
      <c r="AA26" s="2144"/>
      <c r="AB26" s="2144"/>
      <c r="AC26" s="2144"/>
      <c r="AD26" s="2144"/>
      <c r="AE26" s="2144"/>
      <c r="AF26" s="2144"/>
      <c r="AG26" s="2144"/>
      <c r="AH26" s="2144"/>
      <c r="AI26" s="2145"/>
      <c r="AJ26" s="1502"/>
      <c r="BM26" s="231">
        <v>14</v>
      </c>
    </row>
    <row r="27" spans="4:65" ht="11.45" customHeight="1">
      <c r="D27" s="2133"/>
      <c r="E27" s="2135"/>
      <c r="F27" s="2135"/>
      <c r="G27" s="2139"/>
      <c r="H27" s="1529"/>
      <c r="I27" s="2141"/>
      <c r="J27" s="2095"/>
      <c r="K27" s="1538"/>
      <c r="L27" s="2087"/>
      <c r="M27" s="2087"/>
      <c r="N27" s="1523"/>
      <c r="O27" s="1523"/>
      <c r="P27" s="2144"/>
      <c r="Q27" s="2144"/>
      <c r="R27" s="2144"/>
      <c r="S27" s="2144"/>
      <c r="T27" s="2144"/>
      <c r="U27" s="2144"/>
      <c r="V27" s="2144"/>
      <c r="W27" s="2144"/>
      <c r="X27" s="2144"/>
      <c r="Y27" s="2144"/>
      <c r="Z27" s="2144"/>
      <c r="AA27" s="2144"/>
      <c r="AB27" s="2144"/>
      <c r="AC27" s="2144"/>
      <c r="AD27" s="2144"/>
      <c r="AE27" s="2144"/>
      <c r="AF27" s="2144"/>
      <c r="AG27" s="2144"/>
      <c r="AH27" s="2144"/>
      <c r="AI27" s="2145"/>
      <c r="AJ27" s="1502"/>
      <c r="BM27" s="231">
        <v>11</v>
      </c>
    </row>
    <row r="28" spans="4:65" s="1482" customFormat="1" ht="11.45" customHeight="1">
      <c r="D28" s="2134"/>
      <c r="E28" s="2136"/>
      <c r="F28" s="2137"/>
      <c r="G28" s="2081"/>
      <c r="H28" s="1526"/>
      <c r="I28" s="1530"/>
      <c r="J28" s="2142"/>
      <c r="K28" s="2142"/>
      <c r="L28" s="2142"/>
      <c r="M28" s="2142"/>
      <c r="N28" s="2142"/>
      <c r="O28" s="2142"/>
      <c r="P28" s="2142"/>
      <c r="Q28" s="2142"/>
      <c r="R28" s="2142"/>
      <c r="S28" s="2142"/>
      <c r="T28" s="2142"/>
      <c r="U28" s="2142"/>
      <c r="V28" s="2142"/>
      <c r="W28" s="2142"/>
      <c r="X28" s="2142"/>
      <c r="Y28" s="2142"/>
      <c r="Z28" s="2142"/>
      <c r="AA28" s="2142"/>
      <c r="AB28" s="2142"/>
      <c r="AC28" s="2142"/>
      <c r="AD28" s="2142"/>
      <c r="AE28" s="2142"/>
      <c r="AF28" s="2142"/>
      <c r="AG28" s="2142"/>
      <c r="AH28" s="2142"/>
      <c r="AI28" s="2143"/>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133" t="s">
        <v>90</v>
      </c>
      <c r="E29" s="2135" t="s">
        <v>291</v>
      </c>
      <c r="F29" s="2135" t="s">
        <v>295</v>
      </c>
      <c r="G29" s="2138" t="s">
        <v>19</v>
      </c>
      <c r="H29" s="1527"/>
      <c r="I29" s="2140"/>
      <c r="J29" s="2094"/>
      <c r="K29" s="1442"/>
      <c r="L29" s="2086"/>
      <c r="M29" s="2086"/>
      <c r="N29" s="1512"/>
      <c r="O29" s="2086"/>
      <c r="P29" s="2094"/>
      <c r="Q29" s="1513"/>
      <c r="R29" s="2086"/>
      <c r="S29" s="2086"/>
      <c r="T29" s="1514"/>
      <c r="U29" s="2086"/>
      <c r="V29" s="2094"/>
      <c r="W29" s="1515"/>
      <c r="X29" s="2086"/>
      <c r="Y29" s="2086"/>
      <c r="Z29" s="1512"/>
      <c r="AA29" s="2086"/>
      <c r="AB29" s="2094"/>
      <c r="AC29" s="1516"/>
      <c r="AD29" s="2086"/>
      <c r="AE29" s="2086"/>
      <c r="AF29" s="1441"/>
      <c r="AG29" s="1441"/>
      <c r="AH29" s="1517"/>
      <c r="AI29" s="1224"/>
      <c r="AJ29" s="1502"/>
      <c r="BM29" s="231">
        <v>14</v>
      </c>
    </row>
    <row r="30" spans="4:65" ht="14.65" customHeight="1">
      <c r="D30" s="2133"/>
      <c r="E30" s="2135"/>
      <c r="F30" s="2135"/>
      <c r="G30" s="2139"/>
      <c r="H30" s="1528"/>
      <c r="I30" s="2141"/>
      <c r="J30" s="2095"/>
      <c r="K30" s="1511"/>
      <c r="L30" s="2087"/>
      <c r="M30" s="2087"/>
      <c r="N30" s="1518"/>
      <c r="O30" s="2087"/>
      <c r="P30" s="2095"/>
      <c r="Q30" s="1519"/>
      <c r="R30" s="2087"/>
      <c r="S30" s="2087"/>
      <c r="T30" s="1520"/>
      <c r="U30" s="2087"/>
      <c r="V30" s="2095"/>
      <c r="W30" s="1521"/>
      <c r="X30" s="2087"/>
      <c r="Y30" s="2087"/>
      <c r="Z30" s="1518"/>
      <c r="AA30" s="2087"/>
      <c r="AB30" s="2095"/>
      <c r="AC30" s="1522"/>
      <c r="AD30" s="2087"/>
      <c r="AE30" s="2087"/>
      <c r="AF30" s="1523"/>
      <c r="AG30" s="1523"/>
      <c r="AH30" s="2144"/>
      <c r="AI30" s="2145"/>
      <c r="AJ30" s="1502"/>
      <c r="BM30" s="231">
        <v>14</v>
      </c>
    </row>
    <row r="31" spans="4:65" ht="14.65" customHeight="1">
      <c r="D31" s="2133"/>
      <c r="E31" s="2135"/>
      <c r="F31" s="2135"/>
      <c r="G31" s="2139"/>
      <c r="H31" s="1528"/>
      <c r="I31" s="2141"/>
      <c r="J31" s="2095"/>
      <c r="K31" s="1511"/>
      <c r="L31" s="2087"/>
      <c r="M31" s="2087"/>
      <c r="N31" s="1518"/>
      <c r="O31" s="2087"/>
      <c r="P31" s="2095"/>
      <c r="Q31" s="1519"/>
      <c r="R31" s="2087"/>
      <c r="S31" s="2087"/>
      <c r="T31" s="1520"/>
      <c r="U31" s="2087"/>
      <c r="V31" s="2095"/>
      <c r="W31" s="1521"/>
      <c r="X31" s="2087"/>
      <c r="Y31" s="2087"/>
      <c r="Z31" s="1440"/>
      <c r="AA31" s="1523"/>
      <c r="AB31" s="2144"/>
      <c r="AC31" s="2144"/>
      <c r="AD31" s="2144"/>
      <c r="AE31" s="2144"/>
      <c r="AF31" s="2144"/>
      <c r="AG31" s="2144"/>
      <c r="AH31" s="2144"/>
      <c r="AI31" s="2145"/>
      <c r="AJ31" s="1502"/>
      <c r="BM31" s="231">
        <v>14</v>
      </c>
    </row>
    <row r="32" spans="4:65" ht="14.65" customHeight="1">
      <c r="D32" s="2133"/>
      <c r="E32" s="2135"/>
      <c r="F32" s="2135"/>
      <c r="G32" s="2139"/>
      <c r="H32" s="1528"/>
      <c r="I32" s="2141"/>
      <c r="J32" s="2095"/>
      <c r="K32" s="1511"/>
      <c r="L32" s="2087"/>
      <c r="M32" s="2087"/>
      <c r="N32" s="1518"/>
      <c r="O32" s="2087"/>
      <c r="P32" s="2095"/>
      <c r="Q32" s="1519"/>
      <c r="R32" s="2087"/>
      <c r="S32" s="2087"/>
      <c r="T32" s="1524"/>
      <c r="U32" s="1525"/>
      <c r="V32" s="2144"/>
      <c r="W32" s="2144"/>
      <c r="X32" s="2144"/>
      <c r="Y32" s="2144"/>
      <c r="Z32" s="2144"/>
      <c r="AA32" s="2144"/>
      <c r="AB32" s="2144"/>
      <c r="AC32" s="2144"/>
      <c r="AD32" s="2144"/>
      <c r="AE32" s="2144"/>
      <c r="AF32" s="2144"/>
      <c r="AG32" s="2144"/>
      <c r="AH32" s="2144"/>
      <c r="AI32" s="2145"/>
      <c r="AJ32" s="1502"/>
      <c r="BM32" s="231">
        <v>14</v>
      </c>
    </row>
    <row r="33" spans="4:65" ht="11.45" customHeight="1">
      <c r="D33" s="2133"/>
      <c r="E33" s="2135"/>
      <c r="F33" s="2135"/>
      <c r="G33" s="2139"/>
      <c r="H33" s="1529"/>
      <c r="I33" s="2141"/>
      <c r="J33" s="2095"/>
      <c r="K33" s="1511"/>
      <c r="L33" s="2087"/>
      <c r="M33" s="2087"/>
      <c r="N33" s="1523"/>
      <c r="O33" s="1523"/>
      <c r="P33" s="2144"/>
      <c r="Q33" s="2144"/>
      <c r="R33" s="2144"/>
      <c r="S33" s="2144"/>
      <c r="T33" s="2144"/>
      <c r="U33" s="2144"/>
      <c r="V33" s="2144"/>
      <c r="W33" s="2144"/>
      <c r="X33" s="2144"/>
      <c r="Y33" s="2144"/>
      <c r="Z33" s="2144"/>
      <c r="AA33" s="2144"/>
      <c r="AB33" s="2144"/>
      <c r="AC33" s="2144"/>
      <c r="AD33" s="2144"/>
      <c r="AE33" s="2144"/>
      <c r="AF33" s="2144"/>
      <c r="AG33" s="2144"/>
      <c r="AH33" s="2144"/>
      <c r="AI33" s="2145"/>
      <c r="AJ33" s="1502"/>
      <c r="BM33" s="231">
        <v>11</v>
      </c>
    </row>
    <row r="34" spans="4:65" s="1482" customFormat="1" ht="11.45" customHeight="1">
      <c r="D34" s="2134"/>
      <c r="E34" s="2136"/>
      <c r="F34" s="2137"/>
      <c r="G34" s="2081"/>
      <c r="H34" s="1526"/>
      <c r="I34" s="1530"/>
      <c r="J34" s="2142"/>
      <c r="K34" s="2142"/>
      <c r="L34" s="2142"/>
      <c r="M34" s="2142"/>
      <c r="N34" s="2142"/>
      <c r="O34" s="2142"/>
      <c r="P34" s="2142"/>
      <c r="Q34" s="2142"/>
      <c r="R34" s="2142"/>
      <c r="S34" s="2142"/>
      <c r="T34" s="2142"/>
      <c r="U34" s="2142"/>
      <c r="V34" s="2142"/>
      <c r="W34" s="2142"/>
      <c r="X34" s="2142"/>
      <c r="Y34" s="2142"/>
      <c r="Z34" s="2142"/>
      <c r="AA34" s="2142"/>
      <c r="AB34" s="2142"/>
      <c r="AC34" s="2142"/>
      <c r="AD34" s="2142"/>
      <c r="AE34" s="2142"/>
      <c r="AF34" s="2142"/>
      <c r="AG34" s="2142"/>
      <c r="AH34" s="2142"/>
      <c r="AI34" s="2143"/>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133" t="s">
        <v>110</v>
      </c>
      <c r="E35" s="2135" t="s">
        <v>291</v>
      </c>
      <c r="F35" s="2135" t="s">
        <v>296</v>
      </c>
      <c r="G35" s="2138" t="s">
        <v>19</v>
      </c>
      <c r="H35" s="1527"/>
      <c r="I35" s="2140"/>
      <c r="J35" s="2094"/>
      <c r="K35" s="1442"/>
      <c r="L35" s="2086"/>
      <c r="M35" s="2086"/>
      <c r="N35" s="1512"/>
      <c r="O35" s="2086"/>
      <c r="P35" s="2094"/>
      <c r="Q35" s="1513"/>
      <c r="R35" s="2086"/>
      <c r="S35" s="2086"/>
      <c r="T35" s="1514"/>
      <c r="U35" s="2086"/>
      <c r="V35" s="2094"/>
      <c r="W35" s="1515"/>
      <c r="X35" s="2086"/>
      <c r="Y35" s="2086"/>
      <c r="Z35" s="1512"/>
      <c r="AA35" s="2086"/>
      <c r="AB35" s="2094"/>
      <c r="AC35" s="1516"/>
      <c r="AD35" s="2086"/>
      <c r="AE35" s="2086"/>
      <c r="AF35" s="1441"/>
      <c r="AG35" s="1441"/>
      <c r="AH35" s="1517"/>
      <c r="AI35" s="1224"/>
      <c r="AJ35" s="1502"/>
      <c r="BM35" s="231">
        <v>14</v>
      </c>
    </row>
    <row r="36" spans="4:65" ht="14.65" customHeight="1">
      <c r="D36" s="2133"/>
      <c r="E36" s="2135"/>
      <c r="F36" s="2135"/>
      <c r="G36" s="2139"/>
      <c r="H36" s="1528"/>
      <c r="I36" s="2141"/>
      <c r="J36" s="2095"/>
      <c r="K36" s="1511"/>
      <c r="L36" s="2087"/>
      <c r="M36" s="2087"/>
      <c r="N36" s="1518"/>
      <c r="O36" s="2087"/>
      <c r="P36" s="2095"/>
      <c r="Q36" s="1519"/>
      <c r="R36" s="2087"/>
      <c r="S36" s="2087"/>
      <c r="T36" s="1520"/>
      <c r="U36" s="2087"/>
      <c r="V36" s="2095"/>
      <c r="W36" s="1521"/>
      <c r="X36" s="2087"/>
      <c r="Y36" s="2087"/>
      <c r="Z36" s="1518"/>
      <c r="AA36" s="2087"/>
      <c r="AB36" s="2095"/>
      <c r="AC36" s="1522"/>
      <c r="AD36" s="2087"/>
      <c r="AE36" s="2087"/>
      <c r="AF36" s="1523"/>
      <c r="AG36" s="1523"/>
      <c r="AH36" s="2144"/>
      <c r="AI36" s="2145"/>
      <c r="AJ36" s="1502"/>
      <c r="BM36" s="231">
        <v>14</v>
      </c>
    </row>
    <row r="37" spans="4:65" ht="14.65" customHeight="1">
      <c r="D37" s="2133"/>
      <c r="E37" s="2135"/>
      <c r="F37" s="2135"/>
      <c r="G37" s="2139"/>
      <c r="H37" s="1528"/>
      <c r="I37" s="2141"/>
      <c r="J37" s="2095"/>
      <c r="K37" s="1511"/>
      <c r="L37" s="2087"/>
      <c r="M37" s="2087"/>
      <c r="N37" s="1518"/>
      <c r="O37" s="2087"/>
      <c r="P37" s="2095"/>
      <c r="Q37" s="1519"/>
      <c r="R37" s="2087"/>
      <c r="S37" s="2087"/>
      <c r="T37" s="1520"/>
      <c r="U37" s="2087"/>
      <c r="V37" s="2095"/>
      <c r="W37" s="1521"/>
      <c r="X37" s="2087"/>
      <c r="Y37" s="2087"/>
      <c r="Z37" s="1440"/>
      <c r="AA37" s="1523"/>
      <c r="AB37" s="2144"/>
      <c r="AC37" s="2144"/>
      <c r="AD37" s="2144"/>
      <c r="AE37" s="2144"/>
      <c r="AF37" s="2144"/>
      <c r="AG37" s="2144"/>
      <c r="AH37" s="2144"/>
      <c r="AI37" s="2145"/>
      <c r="AJ37" s="1502"/>
      <c r="BM37" s="231">
        <v>14</v>
      </c>
    </row>
    <row r="38" spans="4:65" ht="14.65" customHeight="1">
      <c r="D38" s="2133"/>
      <c r="E38" s="2135"/>
      <c r="F38" s="2135"/>
      <c r="G38" s="2139"/>
      <c r="H38" s="1528"/>
      <c r="I38" s="2141"/>
      <c r="J38" s="2095"/>
      <c r="K38" s="1511"/>
      <c r="L38" s="2087"/>
      <c r="M38" s="2087"/>
      <c r="N38" s="1518"/>
      <c r="O38" s="2087"/>
      <c r="P38" s="2095"/>
      <c r="Q38" s="1519"/>
      <c r="R38" s="2087"/>
      <c r="S38" s="2087"/>
      <c r="T38" s="1524"/>
      <c r="U38" s="1525"/>
      <c r="V38" s="2144"/>
      <c r="W38" s="2144"/>
      <c r="X38" s="2144"/>
      <c r="Y38" s="2144"/>
      <c r="Z38" s="2144"/>
      <c r="AA38" s="2144"/>
      <c r="AB38" s="2144"/>
      <c r="AC38" s="2144"/>
      <c r="AD38" s="2144"/>
      <c r="AE38" s="2144"/>
      <c r="AF38" s="2144"/>
      <c r="AG38" s="2144"/>
      <c r="AH38" s="2144"/>
      <c r="AI38" s="2145"/>
      <c r="AJ38" s="1502"/>
      <c r="BM38" s="231">
        <v>14</v>
      </c>
    </row>
    <row r="39" spans="4:65" ht="11.45" customHeight="1">
      <c r="D39" s="2133"/>
      <c r="E39" s="2135"/>
      <c r="F39" s="2135"/>
      <c r="G39" s="2139"/>
      <c r="H39" s="1529"/>
      <c r="I39" s="2141"/>
      <c r="J39" s="2095"/>
      <c r="K39" s="1511"/>
      <c r="L39" s="2087"/>
      <c r="M39" s="2087"/>
      <c r="N39" s="1523"/>
      <c r="O39" s="1523"/>
      <c r="P39" s="2144"/>
      <c r="Q39" s="2144"/>
      <c r="R39" s="2144"/>
      <c r="S39" s="2144"/>
      <c r="T39" s="2144"/>
      <c r="U39" s="2144"/>
      <c r="V39" s="2144"/>
      <c r="W39" s="2144"/>
      <c r="X39" s="2144"/>
      <c r="Y39" s="2144"/>
      <c r="Z39" s="2144"/>
      <c r="AA39" s="2144"/>
      <c r="AB39" s="2144"/>
      <c r="AC39" s="2144"/>
      <c r="AD39" s="2144"/>
      <c r="AE39" s="2144"/>
      <c r="AF39" s="2144"/>
      <c r="AG39" s="2144"/>
      <c r="AH39" s="2144"/>
      <c r="AI39" s="2145"/>
      <c r="AJ39" s="1502"/>
      <c r="BM39" s="231">
        <v>11</v>
      </c>
    </row>
    <row r="40" spans="4:65" s="1482" customFormat="1" ht="11.45" customHeight="1">
      <c r="D40" s="2133"/>
      <c r="E40" s="2135"/>
      <c r="F40" s="2146"/>
      <c r="G40" s="2081"/>
      <c r="H40" s="1526"/>
      <c r="I40" s="1530"/>
      <c r="J40" s="2142"/>
      <c r="K40" s="2142"/>
      <c r="L40" s="2142"/>
      <c r="M40" s="2142"/>
      <c r="N40" s="2142"/>
      <c r="O40" s="2142"/>
      <c r="P40" s="2142"/>
      <c r="Q40" s="2142"/>
      <c r="R40" s="2142"/>
      <c r="S40" s="2142"/>
      <c r="T40" s="2142"/>
      <c r="U40" s="2142"/>
      <c r="V40" s="2142"/>
      <c r="W40" s="2142"/>
      <c r="X40" s="2142"/>
      <c r="Y40" s="2142"/>
      <c r="Z40" s="2142"/>
      <c r="AA40" s="2142"/>
      <c r="AB40" s="2142"/>
      <c r="AC40" s="2142"/>
      <c r="AD40" s="2142"/>
      <c r="AE40" s="2142"/>
      <c r="AF40" s="2142"/>
      <c r="AG40" s="2142"/>
      <c r="AH40" s="2142"/>
      <c r="AI40" s="2143"/>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45" customHeight="1">
      <c r="AK41" s="361"/>
      <c r="BM41" s="231">
        <v>11</v>
      </c>
    </row>
    <row r="42" spans="4:65" ht="11.45" customHeight="1">
      <c r="AK42" s="361"/>
      <c r="BM42" s="231">
        <v>11</v>
      </c>
    </row>
    <row r="43" spans="4:65" ht="11.45" customHeight="1">
      <c r="AK43" s="361"/>
      <c r="BM43" s="231">
        <v>11</v>
      </c>
    </row>
    <row r="44" spans="4:65" ht="11.45" customHeight="1">
      <c r="AK44" s="361"/>
      <c r="BM44" s="231">
        <v>11</v>
      </c>
    </row>
    <row r="45" spans="4:65" ht="11.45" customHeight="1">
      <c r="AK45" s="361"/>
      <c r="BM45" s="231">
        <v>11</v>
      </c>
    </row>
    <row r="46" spans="4:65" ht="11.45" customHeight="1">
      <c r="AK46" s="361"/>
      <c r="BM46" s="231">
        <v>11</v>
      </c>
    </row>
    <row r="47" spans="4:65" ht="11.45" customHeight="1">
      <c r="AK47" s="361"/>
      <c r="BM47" s="231">
        <v>11</v>
      </c>
    </row>
    <row r="48" spans="4:65" ht="11.45" customHeight="1">
      <c r="AK48" s="361"/>
      <c r="BM48" s="231">
        <v>11</v>
      </c>
    </row>
    <row r="49" spans="1:65" ht="11.45" customHeight="1">
      <c r="AK49" s="361"/>
      <c r="BM49" s="231">
        <v>11</v>
      </c>
    </row>
    <row r="50" spans="1:65" ht="11.25" hidden="1" customHeight="1">
      <c r="A50" s="231" t="s">
        <v>81</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4" t="s">
        <v>297</v>
      </c>
      <c r="J1" s="393" t="s">
        <v>14</v>
      </c>
    </row>
    <row r="2" spans="1:10" ht="11.25" hidden="1" customHeight="1">
      <c r="J2" s="393">
        <v>0</v>
      </c>
    </row>
    <row r="3" spans="1:10" s="415" customFormat="1" ht="11.45" customHeight="1">
      <c r="A3" s="1614"/>
      <c r="B3" s="439"/>
      <c r="D3" s="416"/>
      <c r="J3" s="415">
        <v>11</v>
      </c>
    </row>
    <row r="4" spans="1:10" ht="27.4" customHeight="1">
      <c r="D4" s="2116" t="str">
        <f>ORG_INFO_NAME_FORM</f>
        <v>Форма 1. Информация об организации, осуществляющей холодное водоснабжение (общая информация)</v>
      </c>
      <c r="E4" s="2117"/>
      <c r="F4" s="2118"/>
      <c r="I4" s="653"/>
      <c r="J4" s="393">
        <v>26</v>
      </c>
    </row>
    <row r="5" spans="1:10" ht="18" customHeight="1">
      <c r="D5" s="2147" t="str">
        <f>IF(org=0,"Не определено",org)</f>
        <v>ООО "Профит"</v>
      </c>
      <c r="E5" s="2147"/>
      <c r="F5" s="2147"/>
      <c r="I5" s="653"/>
      <c r="J5" s="393">
        <v>17</v>
      </c>
    </row>
    <row r="6" spans="1:10" s="415" customFormat="1" ht="11.45" customHeight="1">
      <c r="A6" s="1614"/>
      <c r="B6" s="439"/>
      <c r="D6" s="652"/>
      <c r="E6" s="652"/>
      <c r="F6" s="690"/>
      <c r="G6" s="652"/>
      <c r="J6" s="415">
        <v>11</v>
      </c>
    </row>
    <row r="7" spans="1:10" ht="11.25" hidden="1" customHeight="1">
      <c r="A7" s="395"/>
      <c r="B7" s="440"/>
      <c r="C7" s="395"/>
      <c r="D7" s="401"/>
      <c r="E7" s="2153"/>
      <c r="F7" s="2153"/>
      <c r="J7" s="393">
        <v>0</v>
      </c>
    </row>
    <row r="8" spans="1:10" ht="11.45" customHeight="1">
      <c r="A8" s="395"/>
      <c r="B8" s="440"/>
      <c r="C8" s="395"/>
      <c r="D8" s="2150" t="s">
        <v>298</v>
      </c>
      <c r="E8" s="2151"/>
      <c r="F8" s="2151"/>
      <c r="G8" s="2154" t="s">
        <v>299</v>
      </c>
      <c r="J8" s="393">
        <v>11</v>
      </c>
    </row>
    <row r="9" spans="1:10" ht="11.45" customHeight="1">
      <c r="A9" s="395"/>
      <c r="B9" s="440"/>
      <c r="C9" s="395"/>
      <c r="D9" s="410" t="s">
        <v>87</v>
      </c>
      <c r="E9" s="384" t="s">
        <v>300</v>
      </c>
      <c r="F9" s="384" t="s">
        <v>301</v>
      </c>
      <c r="G9" s="2155"/>
      <c r="J9" s="393">
        <v>11</v>
      </c>
    </row>
    <row r="10" spans="1:10" ht="12" hidden="1" customHeight="1">
      <c r="A10" s="395"/>
      <c r="B10" s="440"/>
      <c r="C10" s="395"/>
      <c r="D10" s="402"/>
      <c r="E10" s="402"/>
      <c r="F10" s="402"/>
      <c r="G10" s="402"/>
      <c r="J10" s="393">
        <v>0</v>
      </c>
    </row>
    <row r="11" spans="1:10" ht="22.5" hidden="1" customHeight="1">
      <c r="A11" s="395"/>
      <c r="B11" s="440"/>
      <c r="C11" s="395"/>
      <c r="D11" s="940" t="s">
        <v>108</v>
      </c>
      <c r="E11" s="943" t="s">
        <v>302</v>
      </c>
      <c r="F11" s="942" t="str">
        <f>IF(region_name="","",region_name)</f>
        <v>Нижегородская область</v>
      </c>
      <c r="G11" s="943" t="s">
        <v>303</v>
      </c>
      <c r="H11" s="413"/>
      <c r="J11" s="393">
        <v>0</v>
      </c>
    </row>
    <row r="12" spans="1:10" ht="22.5" hidden="1" customHeight="1">
      <c r="A12" s="395"/>
      <c r="B12" s="440"/>
      <c r="C12" s="395"/>
      <c r="D12" s="383" t="s">
        <v>108</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304</v>
      </c>
      <c r="G12" s="412"/>
      <c r="H12" s="413"/>
      <c r="J12" s="393">
        <v>0</v>
      </c>
    </row>
    <row r="13" spans="1:10" ht="23.25" customHeight="1">
      <c r="A13" s="395"/>
      <c r="B13" s="440"/>
      <c r="C13" s="395"/>
      <c r="D13" s="383" t="s">
        <v>108</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305</v>
      </c>
      <c r="E14" s="941" t="s">
        <v>306</v>
      </c>
      <c r="F14" s="942" t="str">
        <f>IF(inn="","",inn)</f>
        <v>5262287335</v>
      </c>
      <c r="G14" s="943" t="s">
        <v>307</v>
      </c>
      <c r="H14" s="413"/>
      <c r="J14" s="393">
        <v>0</v>
      </c>
    </row>
    <row r="15" spans="1:10" ht="22.5" hidden="1" customHeight="1">
      <c r="A15" s="395"/>
      <c r="B15" s="440"/>
      <c r="C15" s="395"/>
      <c r="D15" s="940" t="s">
        <v>308</v>
      </c>
      <c r="E15" s="941" t="s">
        <v>309</v>
      </c>
      <c r="F15" s="942" t="str">
        <f>IF(kpp="","",kpp)</f>
        <v>770301001</v>
      </c>
      <c r="G15" s="943" t="s">
        <v>310</v>
      </c>
      <c r="H15" s="413"/>
      <c r="J15" s="393">
        <v>0</v>
      </c>
    </row>
    <row r="16" spans="1:10" ht="39" customHeight="1">
      <c r="A16" s="395"/>
      <c r="B16" s="440"/>
      <c r="C16" s="395"/>
      <c r="D16" s="383" t="s">
        <v>109</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89</v>
      </c>
      <c r="E17" s="380" t="str">
        <f>"Дата присвоения ОГРН"&amp;IF(TEMPLATE_SPHERE="TKO",""," (ОГРНИП)")</f>
        <v>Дата присвоения ОГРН (ОГРНИП)</v>
      </c>
      <c r="F17" s="1659" t="s">
        <v>22</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90</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148" t="s">
        <v>311</v>
      </c>
      <c r="B19" s="440"/>
      <c r="C19" s="2159"/>
      <c r="D19" s="383" t="str">
        <f>A19</f>
        <v>5.1</v>
      </c>
      <c r="E19" s="380" t="s">
        <v>312</v>
      </c>
      <c r="F19" s="381" t="s">
        <v>304</v>
      </c>
      <c r="G19" s="382" t="s">
        <v>313</v>
      </c>
      <c r="H19" s="413"/>
      <c r="I19" s="784"/>
      <c r="J19" s="393">
        <v>0</v>
      </c>
    </row>
    <row r="20" spans="1:10" ht="24" hidden="1" customHeight="1">
      <c r="A20" s="2148"/>
      <c r="B20" s="440"/>
      <c r="C20" s="2159"/>
      <c r="D20" s="378" t="str">
        <f>D19&amp;".1"</f>
        <v>5.1.1</v>
      </c>
      <c r="E20" s="377" t="s">
        <v>314</v>
      </c>
      <c r="F20" s="812" t="s">
        <v>22</v>
      </c>
      <c r="G20" s="412"/>
      <c r="H20" s="413"/>
      <c r="I20" s="784"/>
      <c r="J20" s="393">
        <v>0</v>
      </c>
    </row>
    <row r="21" spans="1:10" ht="22.5" hidden="1" customHeight="1">
      <c r="A21" s="2148"/>
      <c r="B21" s="440"/>
      <c r="C21" s="2159"/>
      <c r="D21" s="378" t="str">
        <f>D19&amp;".2"</f>
        <v>5.1.2</v>
      </c>
      <c r="E21" s="377" t="s">
        <v>315</v>
      </c>
      <c r="F21" s="1660" t="s">
        <v>22</v>
      </c>
      <c r="G21" s="382" t="s">
        <v>316</v>
      </c>
      <c r="H21" s="413"/>
      <c r="I21" s="784"/>
      <c r="J21" s="393">
        <v>0</v>
      </c>
    </row>
    <row r="22" spans="1:10" ht="22.5" hidden="1" customHeight="1">
      <c r="A22" s="2148"/>
      <c r="B22" s="440"/>
      <c r="C22" s="2159"/>
      <c r="D22" s="378" t="str">
        <f>D19&amp;".3"</f>
        <v>5.1.3</v>
      </c>
      <c r="E22" s="377" t="s">
        <v>317</v>
      </c>
      <c r="F22" s="812" t="s">
        <v>22</v>
      </c>
      <c r="G22" s="412"/>
      <c r="H22" s="413"/>
      <c r="I22" s="784"/>
      <c r="J22" s="393">
        <v>0</v>
      </c>
    </row>
    <row r="23" spans="1:10" ht="22.5" hidden="1" customHeight="1">
      <c r="A23" s="2148"/>
      <c r="B23" s="440"/>
      <c r="C23" s="2159"/>
      <c r="D23" s="378" t="str">
        <f>D19&amp;".4"</f>
        <v>5.1.4</v>
      </c>
      <c r="E23" s="377" t="s">
        <v>318</v>
      </c>
      <c r="F23" s="812" t="s">
        <v>22</v>
      </c>
      <c r="G23" s="382" t="s">
        <v>319</v>
      </c>
      <c r="H23" s="413"/>
      <c r="I23" s="784"/>
      <c r="J23" s="393">
        <v>0</v>
      </c>
    </row>
    <row r="24" spans="1:10" ht="22.5" hidden="1" customHeight="1">
      <c r="A24" s="1901"/>
      <c r="B24" s="440"/>
      <c r="C24" s="430"/>
      <c r="D24" s="405"/>
      <c r="E24" s="1096" t="s">
        <v>320</v>
      </c>
      <c r="F24" s="406"/>
      <c r="G24" s="407"/>
      <c r="H24" s="413"/>
      <c r="I24" s="784"/>
      <c r="J24" s="393">
        <v>0</v>
      </c>
    </row>
    <row r="25" spans="1:10" s="439" customFormat="1" ht="24.75" hidden="1" customHeight="1">
      <c r="A25" s="395"/>
      <c r="B25" s="440"/>
      <c r="C25" s="440"/>
      <c r="D25" s="937" t="s">
        <v>89</v>
      </c>
      <c r="E25" s="939" t="s">
        <v>321</v>
      </c>
      <c r="F25" s="944" t="s">
        <v>304</v>
      </c>
      <c r="G25" s="939"/>
      <c r="J25" s="439">
        <v>0</v>
      </c>
    </row>
    <row r="26" spans="1:10" s="439" customFormat="1" ht="11.25" hidden="1" customHeight="1">
      <c r="A26" s="395"/>
      <c r="B26" s="440"/>
      <c r="C26" s="440"/>
      <c r="D26" s="937" t="s">
        <v>322</v>
      </c>
      <c r="E26" s="938" t="s">
        <v>323</v>
      </c>
      <c r="F26" s="944" t="s">
        <v>304</v>
      </c>
      <c r="G26" s="939"/>
      <c r="J26" s="439">
        <v>0</v>
      </c>
    </row>
    <row r="27" spans="1:10" s="439" customFormat="1" ht="11.25" hidden="1" customHeight="1">
      <c r="A27" s="395"/>
      <c r="B27" s="440"/>
      <c r="C27" s="440"/>
      <c r="D27" s="937" t="s">
        <v>324</v>
      </c>
      <c r="E27" s="945" t="s">
        <v>325</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326</v>
      </c>
      <c r="E28" s="945" t="s">
        <v>327</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328</v>
      </c>
      <c r="E29" s="945" t="s">
        <v>329</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330</v>
      </c>
      <c r="E30" s="938" t="s">
        <v>331</v>
      </c>
      <c r="F30" s="946"/>
      <c r="G30" s="939"/>
      <c r="J30" s="439">
        <v>0</v>
      </c>
    </row>
    <row r="31" spans="1:10" s="439" customFormat="1" ht="11.25" hidden="1" customHeight="1">
      <c r="A31" s="395"/>
      <c r="B31" s="440"/>
      <c r="C31" s="440"/>
      <c r="D31" s="937" t="s">
        <v>332</v>
      </c>
      <c r="E31" s="938" t="s">
        <v>333</v>
      </c>
      <c r="F31" s="946"/>
      <c r="G31" s="939"/>
      <c r="J31" s="439">
        <v>0</v>
      </c>
    </row>
    <row r="32" spans="1:10" s="439" customFormat="1" ht="11.25" hidden="1" customHeight="1">
      <c r="A32" s="395"/>
      <c r="B32" s="440"/>
      <c r="C32" s="440"/>
      <c r="D32" s="937" t="s">
        <v>334</v>
      </c>
      <c r="E32" s="938" t="s">
        <v>335</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304</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65"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336</v>
      </c>
      <c r="H37" s="413"/>
      <c r="J37" s="393">
        <v>34</v>
      </c>
    </row>
    <row r="38" spans="1:10" ht="35.65"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336</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304</v>
      </c>
      <c r="G39" s="215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157"/>
      <c r="H40" s="413"/>
      <c r="J40" s="393">
        <v>0</v>
      </c>
    </row>
    <row r="41" spans="1:10" ht="23.25" customHeight="1">
      <c r="A41" s="395"/>
      <c r="B41" s="395"/>
      <c r="C41" s="1616"/>
      <c r="D41" s="378" t="str">
        <f>D39&amp;".1"</f>
        <v>8.1</v>
      </c>
      <c r="E41" s="792"/>
      <c r="F41" s="793"/>
      <c r="G41" s="2157"/>
      <c r="H41" s="413"/>
      <c r="J41" s="393">
        <v>22</v>
      </c>
    </row>
    <row r="42" spans="1:10" ht="15.75" customHeight="1">
      <c r="A42" s="395"/>
      <c r="B42" s="440"/>
      <c r="C42" s="395"/>
      <c r="D42" s="405"/>
      <c r="E42" s="353" t="s">
        <v>337</v>
      </c>
      <c r="F42" s="407"/>
      <c r="G42" s="2158"/>
      <c r="H42" s="414"/>
      <c r="J42" s="393">
        <v>15</v>
      </c>
    </row>
    <row r="43" spans="1:10" ht="27.4"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338</v>
      </c>
      <c r="H44" s="413"/>
      <c r="J44" s="393">
        <v>22</v>
      </c>
    </row>
    <row r="45" spans="1:10" ht="23.25" customHeight="1">
      <c r="A45" s="395"/>
      <c r="B45" s="440"/>
      <c r="C45" s="395"/>
      <c r="D45" s="378">
        <f>D44+1</f>
        <v>11</v>
      </c>
      <c r="E45" s="376" t="s">
        <v>339</v>
      </c>
      <c r="F45" s="381" t="s">
        <v>304</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340</v>
      </c>
      <c r="H46" s="413"/>
      <c r="J46" s="393">
        <v>23</v>
      </c>
    </row>
    <row r="47" spans="1:10" ht="24" customHeight="1">
      <c r="A47" s="2148"/>
      <c r="B47" s="440"/>
      <c r="C47" s="430"/>
      <c r="D47" s="378" t="str">
        <f>D45&amp;".2"</f>
        <v>11.2</v>
      </c>
      <c r="E47" s="380" t="s">
        <v>341</v>
      </c>
      <c r="F47" s="428"/>
      <c r="G47" s="375" t="s">
        <v>342</v>
      </c>
      <c r="H47" s="413"/>
      <c r="J47" s="393">
        <v>23</v>
      </c>
    </row>
    <row r="48" spans="1:10" ht="24" customHeight="1">
      <c r="A48" s="2148"/>
      <c r="B48" s="440"/>
      <c r="C48" s="430"/>
      <c r="D48" s="378" t="str">
        <f>D45&amp;".3"</f>
        <v>11.3</v>
      </c>
      <c r="E48" s="380" t="s">
        <v>343</v>
      </c>
      <c r="F48" s="428"/>
      <c r="G48" s="375" t="s">
        <v>344</v>
      </c>
      <c r="H48" s="413"/>
      <c r="J48" s="393">
        <v>23</v>
      </c>
    </row>
    <row r="49" spans="1:10" ht="24" customHeight="1">
      <c r="A49" s="2148"/>
      <c r="B49" s="440"/>
      <c r="C49" s="430"/>
      <c r="D49" s="378" t="str">
        <f>IF(TEMPLATE_SPHERE="TKO",D45&amp;".0",D45&amp;".4")</f>
        <v>11.4</v>
      </c>
      <c r="E49" s="374" t="s">
        <v>345</v>
      </c>
      <c r="F49" s="1613"/>
      <c r="G49" s="1689" t="s">
        <v>346</v>
      </c>
      <c r="H49" s="413"/>
      <c r="J49" s="393">
        <v>23</v>
      </c>
    </row>
    <row r="50" spans="1:10" ht="24" customHeight="1">
      <c r="A50" s="395"/>
      <c r="B50" s="440"/>
      <c r="C50" s="395"/>
      <c r="D50" s="405"/>
      <c r="E50" s="353" t="s">
        <v>347</v>
      </c>
      <c r="F50" s="406"/>
      <c r="G50" s="1689" t="s">
        <v>348</v>
      </c>
      <c r="H50" s="414"/>
      <c r="J50" s="393">
        <v>23</v>
      </c>
    </row>
    <row r="51" spans="1:10" ht="24" customHeight="1">
      <c r="A51" s="790"/>
      <c r="B51" s="440"/>
      <c r="C51" s="430"/>
      <c r="D51" s="378">
        <f>D45+1</f>
        <v>12</v>
      </c>
      <c r="E51" s="466" t="s">
        <v>349</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45" customHeight="1">
      <c r="A52" s="395"/>
      <c r="B52" s="440"/>
      <c r="C52" s="395"/>
      <c r="J52" s="393">
        <v>11</v>
      </c>
    </row>
    <row r="53" spans="1:10" s="398" customFormat="1" ht="31.5" customHeight="1">
      <c r="A53" s="1615"/>
      <c r="B53" s="441"/>
      <c r="C53" s="2149"/>
      <c r="D53" s="215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52"/>
      <c r="F53" s="2152"/>
      <c r="G53" s="2152"/>
      <c r="H53" s="392"/>
      <c r="I53" s="392"/>
      <c r="J53" s="398">
        <v>30</v>
      </c>
    </row>
    <row r="54" spans="1:10" s="398" customFormat="1" ht="42" customHeight="1">
      <c r="A54" s="395"/>
      <c r="B54" s="440"/>
      <c r="C54" s="2149"/>
      <c r="D54" s="2152"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52"/>
      <c r="F54" s="2152"/>
      <c r="G54" s="2152"/>
      <c r="J54" s="398">
        <v>40</v>
      </c>
    </row>
    <row r="55" spans="1:10" ht="11.45" customHeight="1">
      <c r="D55" s="396"/>
      <c r="E55" s="397"/>
      <c r="F55" s="397"/>
      <c r="G55" s="397"/>
      <c r="J55" s="393">
        <v>11</v>
      </c>
    </row>
    <row r="56" spans="1:10" ht="28.5" customHeight="1">
      <c r="D56" s="399"/>
      <c r="E56" s="396"/>
      <c r="F56" s="408"/>
      <c r="G56" s="408"/>
      <c r="J56" s="393">
        <v>27</v>
      </c>
    </row>
    <row r="57" spans="1:10" ht="11.45" customHeight="1">
      <c r="D57" s="396"/>
      <c r="E57" s="396"/>
      <c r="F57" s="397"/>
      <c r="G57" s="397"/>
      <c r="J57" s="393">
        <v>11</v>
      </c>
    </row>
    <row r="58" spans="1:10" ht="40.9" customHeight="1">
      <c r="D58" s="400"/>
      <c r="E58" s="409"/>
      <c r="F58" s="409"/>
      <c r="G58" s="409"/>
      <c r="J58" s="393">
        <v>39</v>
      </c>
    </row>
    <row r="59" spans="1:10" ht="28.5" customHeight="1">
      <c r="D59" s="400"/>
      <c r="E59" s="409"/>
      <c r="F59" s="409"/>
      <c r="G59" s="409"/>
      <c r="J59" s="393">
        <v>27</v>
      </c>
    </row>
    <row r="60" spans="1:10" ht="11.25" hidden="1" customHeight="1">
      <c r="A60" s="1614" t="s">
        <v>81</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48" style="1563" customWidth="1"/>
    <col min="6" max="6" width="38" style="1563" customWidth="1"/>
    <col min="7" max="7" width="1.7109375" style="1563" hidden="1" customWidth="1"/>
    <col min="8" max="11" width="19.85546875" style="1563" hidden="1" customWidth="1"/>
    <col min="12" max="12" width="9.7109375" style="1563" hidden="1" customWidth="1"/>
    <col min="13" max="18" width="19.85546875" style="1563" hidden="1" customWidth="1"/>
    <col min="19" max="19" width="1.7109375" style="1563" hidden="1" customWidth="1"/>
    <col min="20" max="22" width="19.85546875" style="1563" hidden="1" customWidth="1"/>
    <col min="23" max="23" width="1.7109375" style="1563" hidden="1" customWidth="1"/>
    <col min="24" max="26" width="19.85546875" style="1563" customWidth="1"/>
    <col min="27" max="27" width="1.7109375" style="1563" hidden="1" customWidth="1"/>
    <col min="28" max="29" width="19.85546875" style="1563" hidden="1" customWidth="1"/>
    <col min="30" max="30" width="1.7109375" style="1563" hidden="1" customWidth="1"/>
    <col min="31" max="32" width="103.7109375" style="1563" hidden="1" customWidth="1"/>
    <col min="33" max="33" width="103.7109375" style="1563" customWidth="1"/>
    <col min="34" max="34" width="103.7109375" style="1563" hidden="1" customWidth="1"/>
    <col min="35" max="35" width="3" style="1746" customWidth="1"/>
    <col min="36" max="38" width="10" style="1570" customWidth="1"/>
    <col min="39" max="39" width="13.7109375" style="1570" hidden="1" customWidth="1"/>
    <col min="40" max="40" width="15" style="1570" customWidth="1"/>
    <col min="41" max="41" width="16" style="1570" customWidth="1"/>
    <col min="42" max="45" width="10" style="1570" customWidth="1"/>
    <col min="46" max="46" width="10.5703125" style="1563" hidden="1"/>
  </cols>
  <sheetData>
    <row r="1" spans="1:46" ht="22.5" hidden="1" customHeight="1">
      <c r="E1" s="350"/>
      <c r="F1" s="350"/>
      <c r="G1" s="350"/>
      <c r="H1" s="2172" t="s">
        <v>350</v>
      </c>
      <c r="I1" s="2172"/>
      <c r="J1" s="2172"/>
      <c r="K1" s="2172"/>
      <c r="L1" s="2172"/>
      <c r="M1" s="2172"/>
      <c r="N1" s="2172"/>
      <c r="O1" s="2172"/>
      <c r="P1" s="2172"/>
      <c r="Q1" s="2172"/>
      <c r="R1" s="2172"/>
      <c r="T1" s="2172" t="s">
        <v>351</v>
      </c>
      <c r="U1" s="2172"/>
      <c r="V1" s="2172"/>
      <c r="X1" s="2172" t="s">
        <v>352</v>
      </c>
      <c r="Y1" s="2172"/>
      <c r="Z1" s="2172"/>
      <c r="AB1" s="2172" t="s">
        <v>353</v>
      </c>
      <c r="AC1" s="2172"/>
      <c r="AT1" s="385" t="s">
        <v>14</v>
      </c>
    </row>
    <row r="2" spans="1:46" ht="14.25" hidden="1" customHeight="1">
      <c r="AT2" s="385">
        <v>0</v>
      </c>
    </row>
    <row r="3" spans="1:46" s="1541" customFormat="1" ht="5.25" customHeight="1">
      <c r="C3" s="639"/>
      <c r="D3" s="640"/>
      <c r="E3" s="640"/>
      <c r="F3" s="640"/>
      <c r="G3" s="640"/>
      <c r="H3" s="640" t="s">
        <v>354</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16" t="str">
        <f>ORG_VD_NAME_FORM</f>
        <v>Форма 1. Информация об организации, осуществляющей холодное водоснабжение (общая информация)</v>
      </c>
      <c r="E4" s="2117"/>
      <c r="F4" s="2117"/>
      <c r="G4" s="2117"/>
      <c r="H4" s="2117"/>
      <c r="I4" s="2117"/>
      <c r="J4" s="2117"/>
      <c r="K4" s="2117"/>
      <c r="L4" s="2117"/>
      <c r="M4" s="2117"/>
      <c r="N4" s="2117"/>
      <c r="O4" s="2117"/>
      <c r="P4" s="2117"/>
      <c r="Q4" s="2117"/>
      <c r="R4" s="2118"/>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169" t="str">
        <f>IF(org=0,"Не определено",org)</f>
        <v>ООО "Профит"</v>
      </c>
      <c r="E5" s="2170"/>
      <c r="F5" s="2170"/>
      <c r="G5" s="2170"/>
      <c r="H5" s="2170"/>
      <c r="I5" s="2170"/>
      <c r="J5" s="2170"/>
      <c r="K5" s="2170"/>
      <c r="L5" s="2170"/>
      <c r="M5" s="2170"/>
      <c r="N5" s="2170"/>
      <c r="O5" s="2170"/>
      <c r="P5" s="2170"/>
      <c r="Q5" s="2170"/>
      <c r="R5" s="2171"/>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4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65" customHeight="1">
      <c r="C7" s="388"/>
      <c r="D7" s="2160" t="s">
        <v>298</v>
      </c>
      <c r="E7" s="2173"/>
      <c r="F7" s="2173"/>
      <c r="G7" s="2173"/>
      <c r="H7" s="2173"/>
      <c r="I7" s="2173"/>
      <c r="J7" s="2173"/>
      <c r="K7" s="2173"/>
      <c r="L7" s="2173"/>
      <c r="M7" s="2173"/>
      <c r="N7" s="2173"/>
      <c r="O7" s="2173"/>
      <c r="P7" s="2173"/>
      <c r="Q7" s="2173"/>
      <c r="R7" s="2173"/>
      <c r="S7" s="2173"/>
      <c r="T7" s="2173"/>
      <c r="U7" s="2173"/>
      <c r="V7" s="2173"/>
      <c r="W7" s="2173"/>
      <c r="X7" s="2173"/>
      <c r="Y7" s="2173"/>
      <c r="Z7" s="2173"/>
      <c r="AA7" s="2173"/>
      <c r="AB7" s="2173"/>
      <c r="AC7" s="2173"/>
      <c r="AD7" s="2174"/>
      <c r="AE7" s="2123" t="s">
        <v>299</v>
      </c>
      <c r="AF7" s="2123" t="s">
        <v>299</v>
      </c>
      <c r="AG7" s="2123" t="s">
        <v>299</v>
      </c>
      <c r="AH7" s="2123" t="s">
        <v>299</v>
      </c>
      <c r="AT7" s="385">
        <v>14</v>
      </c>
    </row>
    <row r="8" spans="1:46" ht="27.4" customHeight="1">
      <c r="C8" s="388"/>
      <c r="D8" s="2066" t="s">
        <v>87</v>
      </c>
      <c r="E8" s="2123" t="str">
        <f>"Наименование "&amp;IF(TEMPLATE_SPHERE&lt;&gt;"HEAT","централизованной ","")&amp;"системы "&amp;TEMPLATE_SPHERE_RUS</f>
        <v>Наименование централизованной системы холодного водоснабжения</v>
      </c>
      <c r="F8" s="2123" t="str">
        <f>IF(TEMPLATE_SPHERE&lt;&gt;"HEAT","Регулируемый вид деятельности","Вид регулируемой деятельности")</f>
        <v>Регулируемый вид деятельности</v>
      </c>
      <c r="G8" s="760"/>
      <c r="H8" s="2161" t="s">
        <v>355</v>
      </c>
      <c r="I8" s="2165" t="s">
        <v>356</v>
      </c>
      <c r="J8" s="2123" t="s">
        <v>357</v>
      </c>
      <c r="K8" s="2123"/>
      <c r="L8" s="2123"/>
      <c r="M8" s="2160"/>
      <c r="N8" s="2123" t="s">
        <v>358</v>
      </c>
      <c r="O8" s="2123"/>
      <c r="P8" s="2123" t="s">
        <v>359</v>
      </c>
      <c r="Q8" s="2123"/>
      <c r="R8" s="2163" t="s">
        <v>360</v>
      </c>
      <c r="S8" s="756"/>
      <c r="T8" s="2161" t="s">
        <v>361</v>
      </c>
      <c r="U8" s="2161" t="s">
        <v>362</v>
      </c>
      <c r="V8" s="2161" t="s">
        <v>363</v>
      </c>
      <c r="W8" s="758"/>
      <c r="X8" s="2161" t="s">
        <v>364</v>
      </c>
      <c r="Y8" s="2161" t="s">
        <v>365</v>
      </c>
      <c r="Z8" s="2161" t="s">
        <v>366</v>
      </c>
      <c r="AA8" s="758"/>
      <c r="AB8" s="2161" t="s">
        <v>367</v>
      </c>
      <c r="AC8" s="2161" t="s">
        <v>360</v>
      </c>
      <c r="AD8" s="758"/>
      <c r="AE8" s="2123"/>
      <c r="AF8" s="2123"/>
      <c r="AG8" s="2123"/>
      <c r="AH8" s="2123"/>
      <c r="AT8" s="385">
        <v>26</v>
      </c>
    </row>
    <row r="9" spans="1:46" ht="46.15" customHeight="1">
      <c r="C9" s="388"/>
      <c r="D9" s="2066"/>
      <c r="E9" s="2123"/>
      <c r="F9" s="2123"/>
      <c r="G9" s="761"/>
      <c r="H9" s="2162"/>
      <c r="I9" s="2166"/>
      <c r="J9" s="363" t="s">
        <v>368</v>
      </c>
      <c r="K9" s="363" t="s">
        <v>369</v>
      </c>
      <c r="L9" s="363" t="s">
        <v>370</v>
      </c>
      <c r="M9" s="369" t="s">
        <v>371</v>
      </c>
      <c r="N9" s="363" t="s">
        <v>372</v>
      </c>
      <c r="O9" s="363" t="s">
        <v>371</v>
      </c>
      <c r="P9" s="363" t="s">
        <v>373</v>
      </c>
      <c r="Q9" s="363" t="s">
        <v>371</v>
      </c>
      <c r="R9" s="2164"/>
      <c r="S9" s="757"/>
      <c r="T9" s="2162"/>
      <c r="U9" s="2162"/>
      <c r="V9" s="2162"/>
      <c r="W9" s="759"/>
      <c r="X9" s="2162"/>
      <c r="Y9" s="2162"/>
      <c r="Z9" s="2162"/>
      <c r="AA9" s="759"/>
      <c r="AB9" s="2162"/>
      <c r="AC9" s="2162"/>
      <c r="AD9" s="759"/>
      <c r="AE9" s="2123"/>
      <c r="AF9" s="2123"/>
      <c r="AG9" s="2123"/>
      <c r="AH9" s="2123"/>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374</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65" customHeight="1">
      <c r="A12" s="385"/>
      <c r="C12" s="388"/>
      <c r="D12" s="372" t="s">
        <v>108</v>
      </c>
      <c r="E12" s="1704" t="s">
        <v>22</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167" t="s">
        <v>375</v>
      </c>
      <c r="AF12" s="2167" t="s">
        <v>376</v>
      </c>
      <c r="AG12" s="2167" t="s">
        <v>377</v>
      </c>
      <c r="AH12" s="2167" t="s">
        <v>378</v>
      </c>
      <c r="AI12" s="385"/>
      <c r="AM12" s="449"/>
      <c r="AP12" s="438" t="s">
        <v>379</v>
      </c>
      <c r="AQ12" s="438" t="s">
        <v>379</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168"/>
      <c r="AF13" s="2168"/>
      <c r="AG13" s="2168"/>
      <c r="AH13" s="2168"/>
      <c r="AI13" s="385"/>
      <c r="AT13" s="385">
        <v>17</v>
      </c>
    </row>
    <row r="14" spans="1:46" ht="14.65" customHeight="1">
      <c r="AI14" s="385"/>
      <c r="AT14" s="385">
        <v>14</v>
      </c>
    </row>
    <row r="15" spans="1:46" ht="14.65" customHeight="1">
      <c r="E15" s="694"/>
      <c r="L15" s="694"/>
      <c r="AT15" s="385">
        <v>14</v>
      </c>
    </row>
    <row r="16" spans="1:46" ht="14.65" customHeight="1">
      <c r="L16" s="694"/>
      <c r="AT16" s="385">
        <v>14</v>
      </c>
    </row>
    <row r="17" spans="1:46" ht="14.65" customHeight="1">
      <c r="L17" s="694"/>
      <c r="AT17" s="385">
        <v>14</v>
      </c>
    </row>
    <row r="18" spans="1:46" ht="22.5" hidden="1" customHeight="1">
      <c r="A18" s="387" t="s">
        <v>81</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5703125" style="1563" hidden="1"/>
  </cols>
  <sheetData>
    <row r="1" spans="1:22" ht="22.5" hidden="1" customHeight="1">
      <c r="E1" s="350"/>
      <c r="F1" s="350"/>
      <c r="G1" s="350"/>
      <c r="H1" s="2172" t="s">
        <v>350</v>
      </c>
      <c r="I1" s="2172"/>
      <c r="V1" s="1535" t="s">
        <v>14</v>
      </c>
    </row>
    <row r="2" spans="1:22" s="1563" customFormat="1" ht="14.25" hidden="1" customHeight="1">
      <c r="C2" s="1547"/>
      <c r="D2" s="2176" t="s">
        <v>108</v>
      </c>
      <c r="E2" s="2178"/>
      <c r="F2" s="1553"/>
      <c r="G2" s="1548" t="s">
        <v>108</v>
      </c>
      <c r="H2" s="1551"/>
      <c r="I2" s="1549"/>
      <c r="L2" s="1550"/>
      <c r="M2" s="1550"/>
      <c r="N2" s="1550"/>
      <c r="O2" s="1550" t="s">
        <v>380</v>
      </c>
      <c r="P2" s="1550"/>
      <c r="Q2" s="1550"/>
      <c r="R2" s="1552" t="s">
        <v>379</v>
      </c>
      <c r="S2" s="1552" t="s">
        <v>379</v>
      </c>
      <c r="T2" s="1550"/>
      <c r="U2" s="1550"/>
      <c r="V2" s="1546">
        <v>0</v>
      </c>
    </row>
    <row r="3" spans="1:22" s="1563" customFormat="1" ht="14.25" hidden="1" customHeight="1">
      <c r="C3" s="1547"/>
      <c r="D3" s="2177"/>
      <c r="E3" s="2179"/>
      <c r="F3" s="343"/>
      <c r="G3" s="801"/>
      <c r="H3" s="801" t="s">
        <v>381</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354</v>
      </c>
      <c r="I5" s="640"/>
      <c r="J5" s="640"/>
      <c r="L5" s="1542"/>
      <c r="M5" s="1542"/>
      <c r="N5" s="1542"/>
      <c r="O5" s="1542"/>
      <c r="P5" s="1542"/>
      <c r="Q5" s="1542"/>
      <c r="R5" s="1542"/>
      <c r="S5" s="1542"/>
      <c r="T5" s="1542"/>
      <c r="U5" s="1542"/>
      <c r="V5" s="1541">
        <v>5</v>
      </c>
    </row>
    <row r="6" spans="1:22" ht="29.25" customHeight="1">
      <c r="C6" s="1444"/>
      <c r="D6" s="2175" t="s">
        <v>382</v>
      </c>
      <c r="E6" s="2175"/>
      <c r="F6" s="2175"/>
      <c r="G6" s="2175"/>
      <c r="H6" s="2175"/>
      <c r="I6" s="2175"/>
      <c r="J6" s="429"/>
      <c r="K6" s="1543"/>
      <c r="V6" s="1535">
        <v>28</v>
      </c>
    </row>
    <row r="7" spans="1:22" ht="18" customHeight="1">
      <c r="C7" s="1444"/>
      <c r="D7" s="2147" t="str">
        <f>IF(org=0,"Не определено",org)</f>
        <v>ООО "Профит"</v>
      </c>
      <c r="E7" s="2147"/>
      <c r="F7" s="2147"/>
      <c r="G7" s="2147"/>
      <c r="H7" s="2147"/>
      <c r="I7" s="2147"/>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65" customHeight="1">
      <c r="C10" s="1444"/>
      <c r="D10" s="2160" t="s">
        <v>298</v>
      </c>
      <c r="E10" s="2173"/>
      <c r="F10" s="2173"/>
      <c r="G10" s="2173"/>
      <c r="H10" s="2173"/>
      <c r="I10" s="2173"/>
      <c r="J10" s="2123" t="s">
        <v>299</v>
      </c>
      <c r="V10" s="1535">
        <v>14</v>
      </c>
    </row>
    <row r="11" spans="1:22" ht="27.4" customHeight="1">
      <c r="C11" s="1444"/>
      <c r="D11" s="2066" t="s">
        <v>87</v>
      </c>
      <c r="E11" s="2123" t="s">
        <v>104</v>
      </c>
      <c r="F11" s="2126" t="s">
        <v>87</v>
      </c>
      <c r="G11" s="2127"/>
      <c r="H11" s="2125" t="s">
        <v>383</v>
      </c>
      <c r="I11" s="2125" t="s">
        <v>384</v>
      </c>
      <c r="J11" s="2123"/>
      <c r="V11" s="1535">
        <v>26</v>
      </c>
    </row>
    <row r="12" spans="1:22" ht="14.65" customHeight="1">
      <c r="C12" s="1444"/>
      <c r="D12" s="2066"/>
      <c r="E12" s="2123"/>
      <c r="F12" s="2131"/>
      <c r="G12" s="2132"/>
      <c r="H12" s="2180"/>
      <c r="I12" s="2180"/>
      <c r="J12" s="2123"/>
      <c r="V12" s="1535">
        <v>14</v>
      </c>
    </row>
    <row r="13" spans="1:22" s="1569" customFormat="1" ht="11.25" hidden="1" customHeight="1">
      <c r="C13" s="436"/>
      <c r="D13" s="437" t="s">
        <v>374</v>
      </c>
      <c r="E13" s="437"/>
      <c r="F13" s="437"/>
      <c r="G13" s="437"/>
      <c r="H13" s="435"/>
      <c r="I13" s="435"/>
      <c r="J13" s="373"/>
      <c r="L13" s="1542"/>
      <c r="M13" s="1542"/>
      <c r="N13" s="1542"/>
      <c r="O13" s="1542"/>
      <c r="P13" s="1542"/>
      <c r="Q13" s="1542"/>
      <c r="R13" s="1542"/>
      <c r="S13" s="1542"/>
      <c r="T13" s="1542"/>
      <c r="U13" s="1542"/>
      <c r="V13" s="434">
        <v>0</v>
      </c>
    </row>
    <row r="14" spans="1:22" ht="14.65" customHeight="1">
      <c r="A14" s="1535"/>
      <c r="C14" s="1444"/>
      <c r="D14" s="2176" t="s">
        <v>108</v>
      </c>
      <c r="E14" s="2178"/>
      <c r="F14" s="1545"/>
      <c r="G14" s="1544" t="s">
        <v>108</v>
      </c>
      <c r="H14" s="1551"/>
      <c r="I14" s="1549"/>
      <c r="J14" s="2110" t="s">
        <v>385</v>
      </c>
      <c r="K14" s="1535"/>
      <c r="R14" s="438" t="s">
        <v>379</v>
      </c>
      <c r="S14" s="438" t="s">
        <v>379</v>
      </c>
      <c r="V14" s="1535">
        <v>14</v>
      </c>
    </row>
    <row r="15" spans="1:22" ht="14.65" customHeight="1">
      <c r="A15" s="1535"/>
      <c r="C15" s="1444"/>
      <c r="D15" s="2177"/>
      <c r="E15" s="2179"/>
      <c r="F15" s="343"/>
      <c r="G15" s="801"/>
      <c r="H15" s="801" t="s">
        <v>381</v>
      </c>
      <c r="I15" s="251"/>
      <c r="J15" s="2111"/>
      <c r="K15" s="1535"/>
      <c r="R15" s="438"/>
      <c r="S15" s="438"/>
      <c r="V15" s="1535">
        <v>14</v>
      </c>
    </row>
    <row r="16" spans="1:22" ht="14.65" customHeight="1">
      <c r="A16" s="1535"/>
      <c r="C16" s="1444"/>
      <c r="D16" s="343"/>
      <c r="E16" s="801" t="s">
        <v>121</v>
      </c>
      <c r="F16" s="251"/>
      <c r="G16" s="251"/>
      <c r="H16" s="344"/>
      <c r="I16" s="344"/>
      <c r="J16" s="2112"/>
      <c r="K16" s="1535"/>
      <c r="V16" s="1535">
        <v>14</v>
      </c>
    </row>
    <row r="17" spans="1:22" ht="14.65" customHeight="1">
      <c r="K17" s="1535"/>
      <c r="V17" s="1535">
        <v>14</v>
      </c>
    </row>
    <row r="18" spans="1:22" ht="22.5" hidden="1" customHeight="1">
      <c r="A18" s="1536" t="s">
        <v>81</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60" hidden="1" customWidth="1"/>
    <col min="2" max="3" width="9.140625" style="1563" hidden="1" customWidth="1"/>
    <col min="4" max="4" width="3" style="1768" customWidth="1"/>
    <col min="5" max="5" width="6" style="1563" customWidth="1"/>
    <col min="6" max="6" width="1.7109375" style="1563" hidden="1" customWidth="1"/>
    <col min="7" max="8" width="30" style="1563" customWidth="1"/>
    <col min="9" max="9" width="8" style="1563" customWidth="1"/>
    <col min="10" max="10" width="12.140625" style="1563" customWidth="1"/>
    <col min="11" max="11" width="46" style="1563" customWidth="1"/>
    <col min="12" max="12" width="100" style="1563" customWidth="1"/>
    <col min="13" max="13" width="7" style="1746" customWidth="1"/>
    <col min="14" max="22" width="10" style="1563" customWidth="1"/>
    <col min="23" max="23" width="10.5703125" style="1563" hidden="1"/>
  </cols>
  <sheetData>
    <row r="1" spans="1:23" s="1570" customFormat="1" ht="5.25" hidden="1" customHeight="1">
      <c r="C1" s="449"/>
      <c r="D1" s="432"/>
      <c r="F1" s="449"/>
      <c r="G1" s="427" t="s">
        <v>82</v>
      </c>
      <c r="H1" s="427" t="s">
        <v>83</v>
      </c>
      <c r="I1" s="427" t="s">
        <v>84</v>
      </c>
      <c r="P1" s="427" t="s">
        <v>82</v>
      </c>
      <c r="Q1" s="427" t="s">
        <v>83</v>
      </c>
      <c r="R1" s="427" t="s">
        <v>84</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059" t="s">
        <v>386</v>
      </c>
      <c r="F4" s="2059"/>
      <c r="G4" s="2060"/>
      <c r="H4" s="2060"/>
      <c r="I4" s="2061"/>
      <c r="J4" s="429"/>
      <c r="K4" s="391"/>
      <c r="L4" s="391"/>
      <c r="W4" s="385">
        <v>22</v>
      </c>
    </row>
    <row r="5" spans="1:23" s="1563" customFormat="1" ht="18" customHeight="1">
      <c r="A5" s="695"/>
      <c r="D5" s="754"/>
      <c r="E5" s="2169" t="str">
        <f>IF(org=0,"Не определено",org)</f>
        <v>ООО "Профит"</v>
      </c>
      <c r="F5" s="2169"/>
      <c r="G5" s="2170"/>
      <c r="H5" s="2170"/>
      <c r="I5" s="2171"/>
      <c r="J5" s="429"/>
      <c r="K5" s="391"/>
      <c r="L5" s="391"/>
      <c r="M5" s="445"/>
      <c r="W5" s="694">
        <v>17</v>
      </c>
    </row>
    <row r="6" spans="1:23" s="1540" customFormat="1" ht="11.45" customHeight="1">
      <c r="A6" s="417"/>
      <c r="D6" s="424"/>
      <c r="E6" s="419"/>
      <c r="F6" s="419"/>
      <c r="G6" s="422"/>
      <c r="H6" s="422"/>
      <c r="I6" s="423"/>
      <c r="J6" s="423"/>
      <c r="K6" s="690"/>
      <c r="L6" s="423"/>
      <c r="W6" s="418">
        <v>11</v>
      </c>
    </row>
    <row r="7" spans="1:23" ht="14.65" customHeight="1">
      <c r="D7" s="388"/>
      <c r="E7" s="2154" t="s">
        <v>298</v>
      </c>
      <c r="F7" s="2154"/>
      <c r="G7" s="2155"/>
      <c r="H7" s="2155"/>
      <c r="I7" s="2155"/>
      <c r="J7" s="2155"/>
      <c r="K7" s="2155"/>
      <c r="L7" s="2123" t="s">
        <v>299</v>
      </c>
      <c r="W7" s="385">
        <v>14</v>
      </c>
    </row>
    <row r="8" spans="1:23" ht="48.2" customHeight="1">
      <c r="D8" s="388"/>
      <c r="E8" s="411" t="s">
        <v>87</v>
      </c>
      <c r="F8" s="755"/>
      <c r="G8" s="403" t="s">
        <v>85</v>
      </c>
      <c r="H8" s="403" t="s">
        <v>86</v>
      </c>
      <c r="I8" s="352" t="s">
        <v>84</v>
      </c>
      <c r="J8" s="352" t="s">
        <v>387</v>
      </c>
      <c r="K8" s="352" t="s">
        <v>388</v>
      </c>
      <c r="L8" s="2123"/>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167" t="s">
        <v>389</v>
      </c>
      <c r="M10" s="445"/>
      <c r="N10" s="443"/>
      <c r="O10" s="443"/>
      <c r="P10" s="443"/>
      <c r="Q10" s="443"/>
      <c r="R10" s="443"/>
      <c r="S10" s="443"/>
      <c r="T10" s="443"/>
      <c r="U10" s="443"/>
      <c r="V10" s="443"/>
      <c r="W10" s="385">
        <v>0</v>
      </c>
    </row>
    <row r="11" spans="1:23" ht="15" hidden="1" customHeight="1">
      <c r="A11" s="2051"/>
      <c r="B11" s="442"/>
      <c r="C11" s="442"/>
      <c r="D11" s="797"/>
      <c r="E11" s="451"/>
      <c r="F11" s="451"/>
      <c r="G11" s="451"/>
      <c r="H11" s="451"/>
      <c r="I11" s="452"/>
      <c r="J11" s="453"/>
      <c r="K11" s="651"/>
      <c r="L11" s="2181"/>
      <c r="M11" s="449"/>
      <c r="N11" s="449"/>
      <c r="O11" s="449"/>
      <c r="P11" s="454"/>
      <c r="Q11" s="454"/>
      <c r="R11" s="455"/>
      <c r="S11" s="449"/>
      <c r="T11" s="449"/>
      <c r="U11" s="449"/>
      <c r="V11" s="449"/>
      <c r="W11" s="385">
        <v>0</v>
      </c>
    </row>
    <row r="12" spans="1:23" s="1540" customFormat="1" ht="15" customHeight="1">
      <c r="A12" s="2051"/>
      <c r="B12" s="442"/>
      <c r="C12" s="442"/>
      <c r="D12" s="798"/>
      <c r="E12" s="755">
        <v>1</v>
      </c>
      <c r="F12" s="796">
        <v>23</v>
      </c>
      <c r="G12" s="795"/>
      <c r="H12" s="725"/>
      <c r="I12" s="723"/>
      <c r="J12" s="458" t="s">
        <v>65</v>
      </c>
      <c r="K12" s="1092" t="s">
        <v>22</v>
      </c>
      <c r="L12" s="2181"/>
      <c r="M12" s="449"/>
      <c r="N12" s="449"/>
      <c r="O12" s="449"/>
      <c r="P12" s="454" t="s">
        <v>390</v>
      </c>
      <c r="Q12" s="454" t="s">
        <v>391</v>
      </c>
      <c r="R12" s="455" t="s">
        <v>392</v>
      </c>
      <c r="S12" s="449" t="s">
        <v>393</v>
      </c>
      <c r="T12" s="449"/>
      <c r="U12" s="449"/>
      <c r="V12" s="449"/>
      <c r="W12" s="418">
        <v>14</v>
      </c>
    </row>
    <row r="13" spans="1:23" ht="15.75" customHeight="1">
      <c r="A13" s="2051"/>
      <c r="B13" s="443"/>
      <c r="D13" s="444"/>
      <c r="E13" s="343"/>
      <c r="F13" s="467"/>
      <c r="G13" s="354" t="s">
        <v>101</v>
      </c>
      <c r="H13" s="342"/>
      <c r="I13" s="342"/>
      <c r="J13" s="342"/>
      <c r="K13" s="341"/>
      <c r="L13" s="2168"/>
      <c r="M13" s="447"/>
      <c r="N13" s="443"/>
      <c r="O13" s="443"/>
      <c r="P13" s="443"/>
      <c r="Q13" s="443"/>
      <c r="R13" s="443"/>
      <c r="S13" s="443"/>
      <c r="T13" s="443"/>
      <c r="U13" s="443"/>
      <c r="V13" s="443"/>
      <c r="W13" s="385">
        <v>15</v>
      </c>
    </row>
    <row r="14" spans="1:23" ht="11.4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6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4"/>
      <c r="I15" s="404"/>
      <c r="J15" s="404"/>
      <c r="K15" s="404"/>
      <c r="L15" s="404"/>
      <c r="W15" s="385">
        <v>14</v>
      </c>
    </row>
    <row r="16" spans="1:23" ht="14.65" customHeight="1">
      <c r="W16" s="385">
        <v>14</v>
      </c>
    </row>
    <row r="17" spans="1:23" ht="14.65" customHeight="1">
      <c r="W17" s="385">
        <v>14</v>
      </c>
    </row>
    <row r="18" spans="1:23" ht="14.65" customHeight="1">
      <c r="G18" s="443"/>
      <c r="W18" s="385">
        <v>14</v>
      </c>
    </row>
    <row r="19" spans="1:23" ht="22.5" hidden="1" customHeight="1">
      <c r="A19" s="387" t="s">
        <v>81</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37"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32"/>
      <c r="Q3" s="290"/>
      <c r="R3" s="291"/>
      <c r="S3" s="1237"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37"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37"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95"/>
      <c r="F6" s="2195"/>
      <c r="G6" s="2195"/>
      <c r="H6" s="2195"/>
      <c r="I6" s="2196" t="e">
        <f>S5&amp;".1"</f>
        <v>#N/A</v>
      </c>
      <c r="J6" s="1291"/>
      <c r="K6" s="1291"/>
      <c r="L6" s="1292" t="s">
        <v>401</v>
      </c>
      <c r="M6" s="475"/>
      <c r="P6" s="2198">
        <v>1</v>
      </c>
      <c r="Q6" s="1233"/>
      <c r="R6" s="294"/>
      <c r="S6" s="1237"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37"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37"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34"/>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5"/>
      <c r="F11" s="2195"/>
      <c r="G11" s="2195"/>
      <c r="H11" s="2195"/>
      <c r="I11" s="2196"/>
      <c r="J11" s="1291"/>
      <c r="K11" s="1291"/>
      <c r="L11" s="1292"/>
      <c r="M11" s="475"/>
      <c r="P11" s="2198"/>
      <c r="Q11" s="1233"/>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192"/>
      <c r="AI17" s="2191" t="s">
        <v>65</v>
      </c>
      <c r="AJ17" s="2192"/>
      <c r="AK17" s="2191" t="s">
        <v>65</v>
      </c>
      <c r="AS17" s="1083">
        <v>0</v>
      </c>
    </row>
    <row r="18" spans="1:45" ht="14.25" hidden="1" customHeight="1">
      <c r="P18" s="1239"/>
      <c r="AD18" s="1288"/>
      <c r="AE18" s="1288"/>
      <c r="AF18" s="1288"/>
      <c r="AG18" s="266" t="str">
        <f>AH17&amp;"-"&amp;AJ17</f>
        <v>-</v>
      </c>
      <c r="AH18" s="2191"/>
      <c r="AI18" s="2191"/>
      <c r="AJ18" s="2191"/>
      <c r="AK18" s="2191"/>
      <c r="AS18" s="1083">
        <v>0</v>
      </c>
    </row>
    <row r="19" spans="1:45" ht="14.25" hidden="1" customHeight="1">
      <c r="P19" s="1239"/>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083">
        <v>14</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t="s">
        <v>432</v>
      </c>
      <c r="X40" s="2048" t="s">
        <v>433</v>
      </c>
      <c r="Y40" s="2047"/>
      <c r="Z40" s="2048" t="s">
        <v>434</v>
      </c>
      <c r="AA40" s="2053"/>
      <c r="AB40" s="2047"/>
      <c r="AC40" s="2212"/>
      <c r="AD40" s="2125" t="s">
        <v>431</v>
      </c>
      <c r="AE40" s="2203" t="s">
        <v>432</v>
      </c>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149" t="s">
        <v>444</v>
      </c>
      <c r="AA41" s="2160" t="s">
        <v>445</v>
      </c>
      <c r="AB41" s="2174"/>
      <c r="AC41" s="2213"/>
      <c r="AD41" s="2180"/>
      <c r="AE41" s="2204"/>
      <c r="AF41" s="1150" t="s">
        <v>442</v>
      </c>
      <c r="AG41" s="1150" t="s">
        <v>443</v>
      </c>
      <c r="AH41" s="1241"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184">
        <f ca="1">OFFSET(V42,0,-1)+1</f>
        <v>3</v>
      </c>
      <c r="W42" s="1184"/>
      <c r="X42" s="1184">
        <f ca="1">OFFSET(X42,0,-1)+1</f>
        <v>1</v>
      </c>
      <c r="Y42" s="1184">
        <f ca="1">OFFSET(Y42,0,-1)+1</f>
        <v>2</v>
      </c>
      <c r="Z42" s="1184">
        <f ca="1">OFFSET(Z42,0,-1)+1</f>
        <v>3</v>
      </c>
      <c r="AA42" s="2205">
        <f ca="1">OFFSET(AA42,0,-1)+1</f>
        <v>4</v>
      </c>
      <c r="AB42" s="2205"/>
      <c r="AC42" s="1184">
        <f ca="1">OFFSET(AC42,0,-2)+1</f>
        <v>5</v>
      </c>
      <c r="AD42" s="1240">
        <f ca="1">OFFSET(AD42,0,-1)+1</f>
        <v>6</v>
      </c>
      <c r="AE42" s="1240"/>
      <c r="AF42" s="1240">
        <f ca="1">OFFSET(AF42,0,-1)+1</f>
        <v>1</v>
      </c>
      <c r="AG42" s="1240">
        <f ca="1">OFFSET(AG42,0,-1)+1</f>
        <v>2</v>
      </c>
      <c r="AH42" s="1240">
        <f ca="1">OFFSET(AH42,0,-1)+1</f>
        <v>3</v>
      </c>
      <c r="AI42" s="2205">
        <f ca="1">OFFSET(AI42,0,-1)+1</f>
        <v>4</v>
      </c>
      <c r="AJ42" s="2205"/>
      <c r="AK42" s="1240">
        <f ca="1">OFFSET(AK42,0,-2)+1</f>
        <v>5</v>
      </c>
      <c r="AL42" s="1173">
        <f ca="1">OFFSET(AL42,0,-1)</f>
        <v>5</v>
      </c>
      <c r="AM42" s="1184">
        <f ca="1">OFFSET(AM42,0,-1)+1</f>
        <v>6</v>
      </c>
      <c r="AN42" s="449"/>
      <c r="AO42" s="449"/>
      <c r="AP42" s="449"/>
      <c r="AQ42" s="449"/>
      <c r="AR42" s="449"/>
      <c r="AS42" s="434">
        <v>0</v>
      </c>
    </row>
    <row r="43" spans="1:45" ht="24" customHeight="1">
      <c r="A43" s="1291" t="s">
        <v>156</v>
      </c>
      <c r="B43" s="1291"/>
      <c r="C43" s="1291"/>
      <c r="D43" s="1291"/>
      <c r="E43" s="2194">
        <v>1</v>
      </c>
      <c r="F43" s="1291"/>
      <c r="G43" s="1291"/>
      <c r="H43" s="1291"/>
      <c r="I43" s="1291"/>
      <c r="J43" s="1291"/>
      <c r="K43" s="1291"/>
      <c r="L43" s="1292"/>
      <c r="M43" s="1293"/>
      <c r="N43" s="1293"/>
      <c r="O43" s="1293"/>
      <c r="P43" s="299"/>
      <c r="Q43" s="298"/>
      <c r="R43" s="293"/>
      <c r="S43" s="1152">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23</v>
      </c>
    </row>
    <row r="44" spans="1:45" ht="24" customHeight="1">
      <c r="A44" s="1291" t="s">
        <v>156</v>
      </c>
      <c r="B44" s="1291" t="s">
        <v>157</v>
      </c>
      <c r="C44" s="1291"/>
      <c r="D44" s="1291"/>
      <c r="E44" s="2195"/>
      <c r="F44" s="2194">
        <v>1</v>
      </c>
      <c r="G44" s="1291"/>
      <c r="H44" s="1291"/>
      <c r="I44" s="1291"/>
      <c r="J44" s="1291"/>
      <c r="K44" s="1291"/>
      <c r="L44" s="1292"/>
      <c r="M44" s="1293"/>
      <c r="N44" s="1293"/>
      <c r="O44" s="1293"/>
      <c r="P44" s="460"/>
      <c r="Q44" s="290"/>
      <c r="R44" s="291"/>
      <c r="S44" s="1152"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23</v>
      </c>
    </row>
    <row r="45" spans="1:45" ht="24" customHeight="1">
      <c r="A45" s="1291" t="s">
        <v>156</v>
      </c>
      <c r="B45" s="1291" t="s">
        <v>157</v>
      </c>
      <c r="C45" s="1291" t="s">
        <v>158</v>
      </c>
      <c r="D45" s="1291"/>
      <c r="E45" s="2195"/>
      <c r="F45" s="2195"/>
      <c r="G45" s="2194">
        <v>1</v>
      </c>
      <c r="H45" s="1291"/>
      <c r="I45" s="1291"/>
      <c r="J45" s="1291"/>
      <c r="K45" s="1291"/>
      <c r="L45" s="1292"/>
      <c r="M45" s="1293"/>
      <c r="N45" s="1293"/>
      <c r="O45" s="1293"/>
      <c r="P45" s="292"/>
      <c r="Q45" s="290"/>
      <c r="R45" s="291"/>
      <c r="S45" s="1152"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4" customHeight="1">
      <c r="A46" s="1291" t="s">
        <v>156</v>
      </c>
      <c r="B46" s="1291" t="s">
        <v>157</v>
      </c>
      <c r="C46" s="1291" t="s">
        <v>158</v>
      </c>
      <c r="D46" s="1291" t="s">
        <v>159</v>
      </c>
      <c r="E46" s="2195"/>
      <c r="F46" s="2195"/>
      <c r="G46" s="2195"/>
      <c r="H46" s="2194">
        <v>1</v>
      </c>
      <c r="I46" s="1291"/>
      <c r="J46" s="1291"/>
      <c r="K46" s="1291"/>
      <c r="L46" s="1292"/>
      <c r="M46" s="1293"/>
      <c r="N46" s="1293"/>
      <c r="O46" s="1293"/>
      <c r="P46" s="292"/>
      <c r="Q46" s="290"/>
      <c r="R46" s="291"/>
      <c r="S46" s="1152"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23</v>
      </c>
    </row>
    <row r="47" spans="1:45" ht="49.5" customHeight="1">
      <c r="A47" s="1291" t="s">
        <v>156</v>
      </c>
      <c r="B47" s="1291" t="s">
        <v>157</v>
      </c>
      <c r="C47" s="1291" t="s">
        <v>158</v>
      </c>
      <c r="D47" s="1291" t="s">
        <v>159</v>
      </c>
      <c r="E47" s="2195"/>
      <c r="F47" s="2195"/>
      <c r="G47" s="2195"/>
      <c r="H47" s="2195"/>
      <c r="I47" s="2196" t="str">
        <f>S46&amp;".1"</f>
        <v>....1</v>
      </c>
      <c r="J47" s="1291"/>
      <c r="K47" s="1291"/>
      <c r="L47" s="1292" t="s">
        <v>401</v>
      </c>
      <c r="P47" s="2198">
        <v>1</v>
      </c>
      <c r="Q47" s="1148"/>
      <c r="R47" s="294"/>
      <c r="S47" s="1152"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156</v>
      </c>
      <c r="B48" s="1291" t="s">
        <v>157</v>
      </c>
      <c r="C48" s="1291" t="s">
        <v>158</v>
      </c>
      <c r="D48" s="1291" t="s">
        <v>159</v>
      </c>
      <c r="E48" s="2195"/>
      <c r="F48" s="2195"/>
      <c r="G48" s="2195"/>
      <c r="H48" s="2195"/>
      <c r="I48" s="2197"/>
      <c r="J48" s="2196" t="str">
        <f>I47&amp;".1"</f>
        <v>....1.1</v>
      </c>
      <c r="K48" s="1291"/>
      <c r="L48" s="1292" t="s">
        <v>404</v>
      </c>
      <c r="P48" s="2198"/>
      <c r="Q48" s="2198">
        <v>1</v>
      </c>
      <c r="R48" s="295"/>
      <c r="S48" s="1152"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23</v>
      </c>
    </row>
    <row r="49" spans="1:45" ht="24" customHeight="1">
      <c r="A49" s="1291" t="s">
        <v>156</v>
      </c>
      <c r="B49" s="1291" t="s">
        <v>157</v>
      </c>
      <c r="C49" s="1291" t="s">
        <v>158</v>
      </c>
      <c r="D49" s="1291" t="s">
        <v>159</v>
      </c>
      <c r="E49" s="2195"/>
      <c r="F49" s="2195"/>
      <c r="G49" s="2195"/>
      <c r="H49" s="2195"/>
      <c r="I49" s="2197"/>
      <c r="J49" s="2197"/>
      <c r="K49" s="2196" t="str">
        <f>J48&amp;".1"</f>
        <v>....1.1.1</v>
      </c>
      <c r="L49" s="1292" t="s">
        <v>407</v>
      </c>
      <c r="P49" s="2198"/>
      <c r="Q49" s="2198"/>
      <c r="R49" s="295">
        <v>1</v>
      </c>
      <c r="S49" s="1152" t="str">
        <f>$K49</f>
        <v>....1.1.1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408</v>
      </c>
      <c r="AN49" s="449" t="e">
        <f ca="1">STRCHECKDATE(V50:AL50)</f>
        <v>#NAME?</v>
      </c>
      <c r="AO49" s="438"/>
      <c r="AP49" s="438" t="str">
        <f t="shared" si="1"/>
        <v/>
      </c>
      <c r="AQ49" s="438"/>
      <c r="AR49" s="438"/>
      <c r="AS49" s="1083">
        <v>23</v>
      </c>
    </row>
    <row r="50" spans="1:45" ht="1.1499999999999999" customHeight="1">
      <c r="A50" s="1291" t="s">
        <v>156</v>
      </c>
      <c r="B50" s="1291" t="s">
        <v>157</v>
      </c>
      <c r="C50" s="1291" t="s">
        <v>158</v>
      </c>
      <c r="D50" s="1291" t="s">
        <v>159</v>
      </c>
      <c r="E50" s="2195"/>
      <c r="F50" s="2195"/>
      <c r="G50" s="2195"/>
      <c r="H50" s="2195"/>
      <c r="I50" s="2197"/>
      <c r="J50" s="2197"/>
      <c r="K50" s="2196"/>
      <c r="L50" s="1292"/>
      <c r="P50" s="2198"/>
      <c r="Q50" s="2198"/>
      <c r="R50" s="295"/>
      <c r="S50" s="1151"/>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156</v>
      </c>
      <c r="B51" s="1291" t="s">
        <v>157</v>
      </c>
      <c r="C51" s="1291" t="s">
        <v>158</v>
      </c>
      <c r="D51" s="1291" t="s">
        <v>159</v>
      </c>
      <c r="E51" s="2195"/>
      <c r="F51" s="2195"/>
      <c r="G51" s="2195"/>
      <c r="H51" s="2195"/>
      <c r="I51" s="2197"/>
      <c r="J51" s="2196"/>
      <c r="K51" s="1291"/>
      <c r="L51" s="1292"/>
      <c r="P51" s="2198"/>
      <c r="Q51" s="2198"/>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156</v>
      </c>
      <c r="B52" s="1291" t="s">
        <v>157</v>
      </c>
      <c r="C52" s="1291" t="s">
        <v>158</v>
      </c>
      <c r="D52" s="1291" t="s">
        <v>159</v>
      </c>
      <c r="E52" s="2195"/>
      <c r="F52" s="2195"/>
      <c r="G52" s="2195"/>
      <c r="H52" s="2195"/>
      <c r="I52" s="2196"/>
      <c r="J52" s="1291"/>
      <c r="K52" s="1291"/>
      <c r="L52" s="1292"/>
      <c r="P52" s="2198"/>
      <c r="Q52" s="1148"/>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156</v>
      </c>
      <c r="B53" s="1291" t="s">
        <v>157</v>
      </c>
      <c r="C53" s="1291" t="s">
        <v>158</v>
      </c>
      <c r="D53" s="1291" t="s">
        <v>159</v>
      </c>
      <c r="E53" s="2195"/>
      <c r="F53" s="2195"/>
      <c r="G53" s="2195"/>
      <c r="H53" s="2194"/>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156</v>
      </c>
      <c r="B54" s="1271" t="s">
        <v>157</v>
      </c>
      <c r="C54" s="1271" t="s">
        <v>158</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156</v>
      </c>
      <c r="B55" s="1271" t="s">
        <v>157</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156</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27</v>
      </c>
    </row>
    <row r="60" spans="1:45" ht="67.150000000000006" customHeight="1">
      <c r="O60" s="475"/>
      <c r="P60" s="1231"/>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64</v>
      </c>
    </row>
    <row r="61" spans="1:45" ht="14.65" customHeight="1">
      <c r="O61" s="475"/>
      <c r="AS61" s="1083">
        <v>14</v>
      </c>
    </row>
    <row r="62" spans="1:45" ht="18.75" customHeight="1">
      <c r="O62" s="475"/>
      <c r="P62" s="1256"/>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083">
        <v>18</v>
      </c>
    </row>
    <row r="63" spans="1:45" ht="18.75" customHeight="1">
      <c r="O63" s="475"/>
      <c r="P63" s="1256"/>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083">
        <v>18</v>
      </c>
    </row>
    <row r="64" spans="1:45" ht="29.25" customHeight="1">
      <c r="O64" s="475"/>
      <c r="P64" s="1256"/>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64"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64"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95"/>
      <c r="F6" s="2195"/>
      <c r="G6" s="2195"/>
      <c r="H6" s="2195"/>
      <c r="I6" s="2196" t="e">
        <f>S5&amp;".1"</f>
        <v>#N/A</v>
      </c>
      <c r="J6" s="1291"/>
      <c r="K6" s="1291"/>
      <c r="L6" s="1292" t="s">
        <v>401</v>
      </c>
      <c r="M6" s="475"/>
      <c r="P6" s="2198">
        <v>1</v>
      </c>
      <c r="Q6" s="1259"/>
      <c r="R6" s="294"/>
      <c r="S6" s="1264"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64"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64"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5"/>
      <c r="F11" s="2195"/>
      <c r="G11" s="2195"/>
      <c r="H11" s="2195"/>
      <c r="I11" s="2196"/>
      <c r="J11" s="1291"/>
      <c r="K11" s="1291"/>
      <c r="L11" s="1292"/>
      <c r="M11" s="475"/>
      <c r="P11" s="2198"/>
      <c r="Q11" s="1259"/>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083">
        <v>14</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t="s">
        <v>432</v>
      </c>
      <c r="X40" s="2048" t="s">
        <v>433</v>
      </c>
      <c r="Y40" s="2047"/>
      <c r="Z40" s="2048" t="s">
        <v>447</v>
      </c>
      <c r="AA40" s="2053"/>
      <c r="AB40" s="2047"/>
      <c r="AC40" s="2212"/>
      <c r="AD40" s="2125" t="s">
        <v>431</v>
      </c>
      <c r="AE40" s="2203" t="s">
        <v>432</v>
      </c>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266" t="s">
        <v>444</v>
      </c>
      <c r="AA41" s="2160" t="s">
        <v>445</v>
      </c>
      <c r="AB41" s="2174"/>
      <c r="AC41" s="2213"/>
      <c r="AD41" s="2180"/>
      <c r="AE41" s="2204"/>
      <c r="AF41" s="1150" t="s">
        <v>442</v>
      </c>
      <c r="AG41" s="1150" t="s">
        <v>443</v>
      </c>
      <c r="AH41" s="1266"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5">
        <f ca="1">OFFSET(AA42,0,-1)+1</f>
        <v>4</v>
      </c>
      <c r="AB42" s="2205"/>
      <c r="AC42" s="1263">
        <f ca="1">OFFSET(AC42,0,-2)+1</f>
        <v>5</v>
      </c>
      <c r="AD42" s="1263">
        <f ca="1">OFFSET(AD42,0,-1)+1</f>
        <v>6</v>
      </c>
      <c r="AE42" s="1263"/>
      <c r="AF42" s="1263">
        <f ca="1">OFFSET(AF42,0,-1)+1</f>
        <v>1</v>
      </c>
      <c r="AG42" s="1263">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161</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161</v>
      </c>
      <c r="B44" s="1291" t="s">
        <v>162</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161</v>
      </c>
      <c r="B45" s="1291" t="s">
        <v>162</v>
      </c>
      <c r="C45" s="1291" t="s">
        <v>163</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161</v>
      </c>
      <c r="B46" s="1291" t="s">
        <v>162</v>
      </c>
      <c r="C46" s="1291" t="s">
        <v>163</v>
      </c>
      <c r="D46" s="1291" t="s">
        <v>164</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ht="49.5" customHeight="1">
      <c r="A47" s="1291" t="s">
        <v>161</v>
      </c>
      <c r="B47" s="1291" t="s">
        <v>162</v>
      </c>
      <c r="C47" s="1291" t="s">
        <v>163</v>
      </c>
      <c r="D47" s="1291" t="s">
        <v>164</v>
      </c>
      <c r="E47" s="2195"/>
      <c r="F47" s="2195"/>
      <c r="G47" s="2195"/>
      <c r="H47" s="2195"/>
      <c r="I47" s="2196" t="str">
        <f>S46&amp;".1"</f>
        <v>....1</v>
      </c>
      <c r="J47" s="1291"/>
      <c r="K47" s="1291"/>
      <c r="L47" s="1292" t="s">
        <v>401</v>
      </c>
      <c r="P47" s="2198">
        <v>1</v>
      </c>
      <c r="Q47" s="1259"/>
      <c r="R47" s="294"/>
      <c r="S47" s="1264"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161</v>
      </c>
      <c r="B48" s="1291" t="s">
        <v>162</v>
      </c>
      <c r="C48" s="1291" t="s">
        <v>163</v>
      </c>
      <c r="D48" s="1291" t="s">
        <v>164</v>
      </c>
      <c r="E48" s="2195"/>
      <c r="F48" s="2195"/>
      <c r="G48" s="2195"/>
      <c r="H48" s="2195"/>
      <c r="I48" s="2197"/>
      <c r="J48" s="2196" t="str">
        <f>I47&amp;".1"</f>
        <v>....1.1</v>
      </c>
      <c r="K48" s="1291"/>
      <c r="L48" s="1292" t="s">
        <v>404</v>
      </c>
      <c r="P48" s="2198"/>
      <c r="Q48" s="2198">
        <v>1</v>
      </c>
      <c r="R48" s="295"/>
      <c r="S48" s="1264"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161</v>
      </c>
      <c r="B49" s="1291" t="s">
        <v>162</v>
      </c>
      <c r="C49" s="1291" t="s">
        <v>163</v>
      </c>
      <c r="D49" s="1291" t="s">
        <v>164</v>
      </c>
      <c r="E49" s="2195"/>
      <c r="F49" s="2195"/>
      <c r="G49" s="2195"/>
      <c r="H49" s="2195"/>
      <c r="I49" s="2197"/>
      <c r="J49" s="2197"/>
      <c r="K49" s="2196" t="str">
        <f>J48&amp;".1"</f>
        <v>....1.1.1</v>
      </c>
      <c r="L49" s="1292" t="s">
        <v>407</v>
      </c>
      <c r="P49" s="2198"/>
      <c r="Q49" s="2198"/>
      <c r="R49" s="295">
        <v>1</v>
      </c>
      <c r="S49" s="1264" t="str">
        <f>$K49</f>
        <v>....1.1.1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408</v>
      </c>
      <c r="AN49" s="449" t="e">
        <f ca="1">STRCHECKDATE(V50:AL50)</f>
        <v>#NAME?</v>
      </c>
      <c r="AO49" s="438"/>
      <c r="AP49" s="438" t="str">
        <f t="shared" si="1"/>
        <v/>
      </c>
      <c r="AQ49" s="438"/>
      <c r="AR49" s="438"/>
      <c r="AS49" s="1083">
        <v>21</v>
      </c>
    </row>
    <row r="50" spans="1:45" ht="1.1499999999999999" customHeight="1">
      <c r="A50" s="1291" t="s">
        <v>161</v>
      </c>
      <c r="B50" s="1291" t="s">
        <v>162</v>
      </c>
      <c r="C50" s="1291" t="s">
        <v>163</v>
      </c>
      <c r="D50" s="1291" t="s">
        <v>164</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161</v>
      </c>
      <c r="B51" s="1291" t="s">
        <v>162</v>
      </c>
      <c r="C51" s="1291" t="s">
        <v>163</v>
      </c>
      <c r="D51" s="1291" t="s">
        <v>164</v>
      </c>
      <c r="E51" s="2195"/>
      <c r="F51" s="2195"/>
      <c r="G51" s="2195"/>
      <c r="H51" s="2195"/>
      <c r="I51" s="2197"/>
      <c r="J51" s="2196"/>
      <c r="K51" s="1291"/>
      <c r="L51" s="1292"/>
      <c r="P51" s="2198"/>
      <c r="Q51" s="2198"/>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161</v>
      </c>
      <c r="B52" s="1291" t="s">
        <v>162</v>
      </c>
      <c r="C52" s="1291" t="s">
        <v>163</v>
      </c>
      <c r="D52" s="1291" t="s">
        <v>164</v>
      </c>
      <c r="E52" s="2195"/>
      <c r="F52" s="2195"/>
      <c r="G52" s="2195"/>
      <c r="H52" s="2195"/>
      <c r="I52" s="2196"/>
      <c r="J52" s="1291"/>
      <c r="K52" s="1291"/>
      <c r="L52" s="1292"/>
      <c r="P52" s="2198"/>
      <c r="Q52" s="1259"/>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161</v>
      </c>
      <c r="B53" s="1291" t="s">
        <v>162</v>
      </c>
      <c r="C53" s="1291" t="s">
        <v>163</v>
      </c>
      <c r="D53" s="1291" t="s">
        <v>164</v>
      </c>
      <c r="E53" s="2195"/>
      <c r="F53" s="2195"/>
      <c r="G53" s="2195"/>
      <c r="H53" s="2194"/>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161</v>
      </c>
      <c r="B54" s="1271" t="s">
        <v>162</v>
      </c>
      <c r="C54" s="1271" t="s">
        <v>163</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161</v>
      </c>
      <c r="B55" s="1271" t="s">
        <v>162</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161</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27</v>
      </c>
    </row>
    <row r="60" spans="1:45" ht="65.25"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62</v>
      </c>
    </row>
    <row r="61" spans="1:45" ht="14.65" customHeight="1">
      <c r="O61" s="475"/>
      <c r="AS61" s="1083">
        <v>14</v>
      </c>
    </row>
    <row r="62" spans="1:45" ht="18.75" customHeight="1">
      <c r="O62" s="475"/>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083">
        <v>18</v>
      </c>
    </row>
    <row r="63" spans="1:45" ht="18.75" customHeight="1">
      <c r="O63" s="475"/>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083">
        <v>18</v>
      </c>
    </row>
    <row r="64" spans="1:45" ht="29.25" customHeight="1">
      <c r="O64" s="475"/>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20">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1552"/>
      <c r="AP2" s="1552" t="str">
        <f t="shared" ref="AP2:AP15" si="0">IF(T2="","",T2)</f>
        <v>Наименование тарифа</v>
      </c>
      <c r="AQ2" s="1552"/>
      <c r="AR2" s="1552"/>
      <c r="AS2" s="1559">
        <v>0</v>
      </c>
    </row>
    <row r="3" spans="1:45" ht="21" hidden="1" customHeight="1">
      <c r="A3" s="1195"/>
      <c r="B3" s="1195"/>
      <c r="C3" s="1195"/>
      <c r="D3" s="1195"/>
      <c r="E3" s="2221"/>
      <c r="F3" s="2220">
        <v>1</v>
      </c>
      <c r="G3" s="1195"/>
      <c r="H3" s="1195"/>
      <c r="I3" s="1195"/>
      <c r="J3" s="1195"/>
      <c r="K3" s="1195"/>
      <c r="L3" s="1238"/>
      <c r="M3" s="1538"/>
      <c r="N3" s="1538"/>
      <c r="O3" s="1538"/>
      <c r="P3" s="1863"/>
      <c r="Q3" s="290"/>
      <c r="R3" s="291"/>
      <c r="S3" s="1881" t="e">
        <f>INDEX(PT_DIFFERENTIATION_NUM_TER,MATCH(B3,PT_DIFFERENTIATION_TER_ID,0))</f>
        <v>#N/A</v>
      </c>
      <c r="T3" s="1450"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1552"/>
      <c r="AP3" s="1552" t="str">
        <f t="shared" si="0"/>
        <v>Территория действия тарифа</v>
      </c>
      <c r="AQ3" s="1552"/>
      <c r="AR3" s="1552"/>
      <c r="AS3" s="1559">
        <v>0</v>
      </c>
    </row>
    <row r="4" spans="1:45" ht="23.25" hidden="1" customHeight="1">
      <c r="A4" s="1195"/>
      <c r="B4" s="1195"/>
      <c r="C4" s="1195"/>
      <c r="D4" s="1195"/>
      <c r="E4" s="2221"/>
      <c r="F4" s="2221"/>
      <c r="G4" s="2220">
        <v>1</v>
      </c>
      <c r="H4" s="1195"/>
      <c r="I4" s="1195"/>
      <c r="J4" s="1195"/>
      <c r="K4" s="1195"/>
      <c r="L4" s="1238"/>
      <c r="M4" s="1538"/>
      <c r="N4" s="1538"/>
      <c r="O4" s="1538"/>
      <c r="P4" s="292"/>
      <c r="Q4" s="290"/>
      <c r="R4" s="291"/>
      <c r="S4" s="1881"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21"/>
      <c r="F5" s="2221"/>
      <c r="G5" s="2221"/>
      <c r="H5" s="2220">
        <v>1</v>
      </c>
      <c r="I5" s="1195"/>
      <c r="J5" s="1195"/>
      <c r="K5" s="1195"/>
      <c r="L5" s="1238"/>
      <c r="M5" s="1538"/>
      <c r="N5" s="1538"/>
      <c r="O5" s="1538"/>
      <c r="P5" s="292"/>
      <c r="Q5" s="290"/>
      <c r="R5" s="291"/>
      <c r="S5" s="1881"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1552"/>
      <c r="AP5" s="1552" t="str">
        <f t="shared" si="0"/>
        <v xml:space="preserve">Источник тепловой энергии  </v>
      </c>
      <c r="AQ5" s="1552"/>
      <c r="AR5" s="1552"/>
      <c r="AS5" s="1559">
        <v>0</v>
      </c>
    </row>
    <row r="6" spans="1:45" ht="47.25" hidden="1" customHeight="1">
      <c r="A6" s="1195"/>
      <c r="B6" s="1195"/>
      <c r="C6" s="1195"/>
      <c r="D6" s="1195"/>
      <c r="E6" s="2221"/>
      <c r="F6" s="2221"/>
      <c r="G6" s="2221"/>
      <c r="H6" s="2221"/>
      <c r="I6" s="2066" t="e">
        <f>S5&amp;".1"</f>
        <v>#N/A</v>
      </c>
      <c r="J6" s="1195"/>
      <c r="K6" s="1195"/>
      <c r="L6" s="1238" t="s">
        <v>401</v>
      </c>
      <c r="M6" s="1563"/>
      <c r="P6" s="2198">
        <v>1</v>
      </c>
      <c r="Q6" s="1877"/>
      <c r="R6" s="294"/>
      <c r="S6" s="1881"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21"/>
      <c r="F7" s="2221"/>
      <c r="G7" s="2221"/>
      <c r="H7" s="2221"/>
      <c r="I7" s="2048"/>
      <c r="J7" s="2066" t="e">
        <f>I6&amp;".1"</f>
        <v>#N/A</v>
      </c>
      <c r="K7" s="1195"/>
      <c r="L7" s="1238" t="s">
        <v>404</v>
      </c>
      <c r="M7" s="1563"/>
      <c r="N7" s="1559"/>
      <c r="P7" s="2198"/>
      <c r="Q7" s="2198">
        <v>1</v>
      </c>
      <c r="R7" s="295"/>
      <c r="S7" s="1881"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1552"/>
      <c r="AP7" s="1552" t="str">
        <f t="shared" si="0"/>
        <v>Группа потребителей</v>
      </c>
      <c r="AQ7" s="1552"/>
      <c r="AR7" s="1552"/>
      <c r="AS7" s="1559">
        <v>0</v>
      </c>
    </row>
    <row r="8" spans="1:45" ht="21" hidden="1" customHeight="1">
      <c r="A8" s="1195"/>
      <c r="B8" s="1195"/>
      <c r="C8" s="1195"/>
      <c r="D8" s="1195"/>
      <c r="E8" s="2221"/>
      <c r="F8" s="2221"/>
      <c r="G8" s="2221"/>
      <c r="H8" s="2221"/>
      <c r="I8" s="2048"/>
      <c r="J8" s="2048"/>
      <c r="K8" s="2066" t="e">
        <f>J7&amp;".1"</f>
        <v>#N/A</v>
      </c>
      <c r="L8" s="1238" t="s">
        <v>407</v>
      </c>
      <c r="M8" s="1563"/>
      <c r="N8" s="1559"/>
      <c r="O8" s="1559"/>
      <c r="P8" s="2198"/>
      <c r="Q8" s="2198"/>
      <c r="R8" s="295">
        <v>1</v>
      </c>
      <c r="S8" s="1881"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1564" t="e">
        <f ca="1">STRCHECKDATE(V9:AL9)</f>
        <v>#NAME?</v>
      </c>
      <c r="AO8" s="1552"/>
      <c r="AP8" s="1552" t="str">
        <f t="shared" si="0"/>
        <v/>
      </c>
      <c r="AQ8" s="1552"/>
      <c r="AR8" s="1552"/>
      <c r="AS8" s="1559">
        <v>0</v>
      </c>
    </row>
    <row r="9" spans="1:45" ht="0.75" hidden="1" customHeight="1">
      <c r="A9" s="1195"/>
      <c r="B9" s="1195"/>
      <c r="C9" s="1195"/>
      <c r="D9" s="1195"/>
      <c r="E9" s="2221"/>
      <c r="F9" s="2221"/>
      <c r="G9" s="2221"/>
      <c r="H9" s="2221"/>
      <c r="I9" s="2048"/>
      <c r="J9" s="2048"/>
      <c r="K9" s="2066"/>
      <c r="L9" s="1238"/>
      <c r="M9" s="1563"/>
      <c r="N9" s="1559"/>
      <c r="O9" s="1559"/>
      <c r="P9" s="2198"/>
      <c r="Q9" s="2198"/>
      <c r="R9" s="295"/>
      <c r="S9" s="189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1552"/>
      <c r="AP9" s="1552" t="str">
        <f t="shared" si="0"/>
        <v/>
      </c>
      <c r="AQ9" s="1552"/>
      <c r="AR9" s="1552"/>
      <c r="AS9" s="1559">
        <v>0</v>
      </c>
    </row>
    <row r="10" spans="1:45" ht="15" hidden="1" customHeight="1">
      <c r="A10" s="1195"/>
      <c r="B10" s="1195"/>
      <c r="C10" s="1195"/>
      <c r="D10" s="1195"/>
      <c r="E10" s="2221"/>
      <c r="F10" s="2221"/>
      <c r="G10" s="2221"/>
      <c r="H10" s="2221"/>
      <c r="I10" s="2048"/>
      <c r="J10" s="2066"/>
      <c r="K10" s="1195"/>
      <c r="L10" s="1238"/>
      <c r="M10" s="1563"/>
      <c r="N10" s="1559"/>
      <c r="P10" s="2198"/>
      <c r="Q10" s="2198"/>
      <c r="R10" s="294"/>
      <c r="S10" s="1206"/>
      <c r="T10" s="226" t="s">
        <v>409</v>
      </c>
      <c r="U10" s="538"/>
      <c r="V10" s="538"/>
      <c r="W10" s="538"/>
      <c r="X10" s="538"/>
      <c r="Y10" s="538"/>
      <c r="Z10" s="538"/>
      <c r="AA10" s="538"/>
      <c r="AB10" s="538"/>
      <c r="AC10" s="538"/>
      <c r="AD10" s="538"/>
      <c r="AE10" s="538"/>
      <c r="AF10" s="538"/>
      <c r="AG10" s="538"/>
      <c r="AH10" s="538"/>
      <c r="AI10" s="538"/>
      <c r="AJ10" s="538"/>
      <c r="AK10" s="538"/>
      <c r="AL10" s="262"/>
      <c r="AM10" s="2219"/>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21"/>
      <c r="F11" s="2221"/>
      <c r="G11" s="2221"/>
      <c r="H11" s="2221"/>
      <c r="I11" s="2066"/>
      <c r="J11" s="1195"/>
      <c r="K11" s="1195"/>
      <c r="L11" s="1238"/>
      <c r="M11" s="1563"/>
      <c r="P11" s="2198"/>
      <c r="Q11" s="1877"/>
      <c r="R11" s="294"/>
      <c r="S11" s="1206"/>
      <c r="T11" s="225" t="s">
        <v>410</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21"/>
      <c r="F12" s="2221"/>
      <c r="G12" s="2221"/>
      <c r="H12" s="2220"/>
      <c r="I12" s="1195"/>
      <c r="J12" s="1195"/>
      <c r="K12" s="1195"/>
      <c r="L12" s="1238"/>
      <c r="M12" s="1538"/>
      <c r="N12" s="1538"/>
      <c r="O12" s="1563"/>
      <c r="P12" s="298"/>
      <c r="Q12" s="313"/>
      <c r="R12" s="293"/>
      <c r="S12" s="1206"/>
      <c r="T12" s="303" t="s">
        <v>411</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221"/>
      <c r="F13" s="2221"/>
      <c r="G13" s="2220"/>
      <c r="H13" s="1302"/>
      <c r="I13" s="1302"/>
      <c r="J13" s="1302"/>
      <c r="K13" s="1302"/>
      <c r="L13" s="1305"/>
      <c r="M13" s="1306"/>
      <c r="N13" s="1306"/>
      <c r="O13" s="289"/>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221"/>
      <c r="F14" s="2220"/>
      <c r="G14" s="1302"/>
      <c r="H14" s="1302"/>
      <c r="I14" s="1302"/>
      <c r="J14" s="1302"/>
      <c r="K14" s="1302"/>
      <c r="L14" s="1305"/>
      <c r="M14" s="1307"/>
      <c r="N14" s="1307"/>
      <c r="O14" s="28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220"/>
      <c r="F15" s="1302"/>
      <c r="G15" s="1302"/>
      <c r="H15" s="1302"/>
      <c r="I15" s="1302"/>
      <c r="J15" s="1302"/>
      <c r="K15" s="1302"/>
      <c r="L15" s="1305"/>
      <c r="M15" s="1307"/>
      <c r="N15" s="1307"/>
      <c r="O15" s="28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92"/>
      <c r="AI17" s="2191" t="s">
        <v>65</v>
      </c>
      <c r="AJ17" s="2192"/>
      <c r="AK17" s="2191" t="s">
        <v>65</v>
      </c>
      <c r="AS17" s="1559">
        <v>0</v>
      </c>
    </row>
    <row r="18" spans="1:45" ht="14.25" hidden="1" customHeight="1">
      <c r="AD18" s="1288"/>
      <c r="AE18" s="1288"/>
      <c r="AF18" s="1288"/>
      <c r="AG18" s="266" t="str">
        <f>AH17&amp;"-"&amp;AJ17</f>
        <v>-</v>
      </c>
      <c r="AH18" s="2191"/>
      <c r="AI18" s="2191"/>
      <c r="AJ18" s="2191"/>
      <c r="AK18" s="2191"/>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415</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416</v>
      </c>
      <c r="P22" s="1290"/>
      <c r="Q22" s="1299"/>
      <c r="R22" s="1299"/>
      <c r="S22" s="667"/>
      <c r="T22" s="1294" t="s">
        <v>417</v>
      </c>
      <c r="AA22" s="533" t="s">
        <v>418</v>
      </c>
      <c r="AC22" s="533" t="s">
        <v>419</v>
      </c>
      <c r="AD22" s="1294" t="s">
        <v>417</v>
      </c>
      <c r="AI22" s="533" t="s">
        <v>420</v>
      </c>
      <c r="AK22" s="533" t="s">
        <v>419</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559">
        <v>14</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85" t="s">
        <v>42</v>
      </c>
      <c r="T29" s="2185"/>
      <c r="U29" s="1300"/>
      <c r="V29" s="2187" t="str">
        <f>IF(TITLE_NAME_OR_PR_CHANGE="",IF(TITLE_NAME_OR_PR="","",TITLE_NAME_OR_PR),TITLE_NAME_OR_PR_CHANGE)</f>
        <v/>
      </c>
      <c r="W29" s="2187"/>
      <c r="X29" s="2187"/>
      <c r="Y29" s="2187"/>
      <c r="Z29" s="2187"/>
      <c r="AA29" s="2187"/>
      <c r="AB29" s="2187"/>
      <c r="AC29" s="1563"/>
      <c r="AD29" s="2187" t="str">
        <f>IF(TITLE_NAME_OR_PR_CHANGE="",IF(TITLE_NAME_OR_PR="","",TITLE_NAME_OR_PR),TITLE_NAME_OR_PR_CHANGE)</f>
        <v/>
      </c>
      <c r="AE29" s="2187"/>
      <c r="AF29" s="2187"/>
      <c r="AG29" s="2187"/>
      <c r="AH29" s="2187"/>
      <c r="AI29" s="2187"/>
      <c r="AJ29" s="2187"/>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85" t="s">
        <v>421</v>
      </c>
      <c r="T30" s="2185"/>
      <c r="U30" s="1300"/>
      <c r="V30" s="2186" t="str">
        <f>IF(TITLE_DATE_PR_CHANGE="",IF(TITLE_DATE_PR="","",TITLE_DATE_PR),TITLE_DATE_PR_CHANGE)</f>
        <v/>
      </c>
      <c r="W30" s="2186"/>
      <c r="X30" s="2186"/>
      <c r="Y30" s="2186"/>
      <c r="Z30" s="2186"/>
      <c r="AA30" s="2186"/>
      <c r="AB30" s="2186"/>
      <c r="AC30" s="1563"/>
      <c r="AD30" s="2186" t="str">
        <f>IF(TITLE_DATE_PR_CHANGE="",IF(TITLE_DATE_PR="","",TITLE_DATE_PR),TITLE_DATE_PR_CHANGE)</f>
        <v/>
      </c>
      <c r="AE30" s="2186"/>
      <c r="AF30" s="2186"/>
      <c r="AG30" s="2186"/>
      <c r="AH30" s="2186"/>
      <c r="AI30" s="2186"/>
      <c r="AJ30" s="2186"/>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85" t="s">
        <v>422</v>
      </c>
      <c r="T31" s="2185"/>
      <c r="U31" s="1300"/>
      <c r="V31" s="2187" t="str">
        <f>IF(TITLE_NUMBER_PR_CHANGE="",IF(TITLE_NUMBER_PR="","",TITLE_NUMBER_PR),TITLE_NUMBER_PR_CHANGE)</f>
        <v/>
      </c>
      <c r="W31" s="2187"/>
      <c r="X31" s="2187"/>
      <c r="Y31" s="2187"/>
      <c r="Z31" s="2187"/>
      <c r="AA31" s="2187"/>
      <c r="AB31" s="2187"/>
      <c r="AC31" s="1563"/>
      <c r="AD31" s="2187" t="str">
        <f>IF(TITLE_NUMBER_PR_CHANGE="",IF(TITLE_NUMBER_PR="","",TITLE_NUMBER_PR),TITLE_NUMBER_PR_CHANGE)</f>
        <v/>
      </c>
      <c r="AE31" s="2187"/>
      <c r="AF31" s="2187"/>
      <c r="AG31" s="2187"/>
      <c r="AH31" s="2187"/>
      <c r="AI31" s="2187"/>
      <c r="AJ31" s="2187"/>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85" t="s">
        <v>43</v>
      </c>
      <c r="T32" s="2185"/>
      <c r="U32" s="1300"/>
      <c r="V32" s="2187" t="str">
        <f>IF(TITLE_IST_PUB_CHANGE="",IF(TITLE_IST_PUB="","",TITLE_IST_PUB),TITLE_IST_PUB_CHANGE)</f>
        <v/>
      </c>
      <c r="W32" s="2187"/>
      <c r="X32" s="2187"/>
      <c r="Y32" s="2187"/>
      <c r="Z32" s="2187"/>
      <c r="AA32" s="2187"/>
      <c r="AB32" s="2187"/>
      <c r="AC32" s="1563"/>
      <c r="AD32" s="2187" t="str">
        <f>IF(TITLE_IST_PUB_CHANGE="",IF(TITLE_IST_PUB="","",TITLE_IST_PUB),TITLE_IST_PUB_CHANGE)</f>
        <v/>
      </c>
      <c r="AE32" s="2187"/>
      <c r="AF32" s="2187"/>
      <c r="AG32" s="2187"/>
      <c r="AH32" s="2187"/>
      <c r="AI32" s="2187"/>
      <c r="AJ32" s="2187"/>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85" t="s">
        <v>423</v>
      </c>
      <c r="T34" s="2185"/>
      <c r="U34" s="1300"/>
      <c r="V34" s="2186" t="str">
        <f>IF(TITLE_DATE_PR_CHANGE="",IF(TITLE_DATE_PR="","",TITLE_DATE_PR),TITLE_DATE_PR_CHANGE)</f>
        <v/>
      </c>
      <c r="W34" s="2186"/>
      <c r="X34" s="2186"/>
      <c r="Y34" s="2186"/>
      <c r="Z34" s="2186"/>
      <c r="AA34" s="2186"/>
      <c r="AB34" s="2186"/>
      <c r="AC34" s="1563"/>
      <c r="AD34" s="2186" t="str">
        <f>IF(TITLE_DATE_PR_CHANGE="",IF(TITLE_DATE_PR="","",TITLE_DATE_PR),TITLE_DATE_PR_CHANGE)</f>
        <v/>
      </c>
      <c r="AE34" s="2186"/>
      <c r="AF34" s="2186"/>
      <c r="AG34" s="2186"/>
      <c r="AH34" s="2186"/>
      <c r="AI34" s="2186"/>
      <c r="AJ34" s="2186"/>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85" t="s">
        <v>424</v>
      </c>
      <c r="T35" s="2185"/>
      <c r="U35" s="1300"/>
      <c r="V35" s="2187" t="str">
        <f>IF(TITLE_NUMBER_PR_CHANGE="",IF(TITLE_NUMBER_PR="","",TITLE_NUMBER_PR),TITLE_NUMBER_PR_CHANGE)</f>
        <v/>
      </c>
      <c r="W35" s="2187"/>
      <c r="X35" s="2187"/>
      <c r="Y35" s="2187"/>
      <c r="Z35" s="2187"/>
      <c r="AA35" s="2187"/>
      <c r="AB35" s="2187"/>
      <c r="AC35" s="1563"/>
      <c r="AD35" s="2187" t="str">
        <f>IF(TITLE_NUMBER_PR_CHANGE="",IF(TITLE_NUMBER_PR="","",TITLE_NUMBER_PR),TITLE_NUMBER_PR_CHANGE)</f>
        <v/>
      </c>
      <c r="AE35" s="2187"/>
      <c r="AF35" s="2187"/>
      <c r="AG35" s="2187"/>
      <c r="AH35" s="2187"/>
      <c r="AI35" s="2187"/>
      <c r="AJ35" s="2187"/>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425</v>
      </c>
      <c r="AD36" s="1563"/>
      <c r="AE36" s="1563"/>
      <c r="AF36" s="1563"/>
      <c r="AG36" s="1563"/>
      <c r="AH36" s="1563"/>
      <c r="AI36" s="1563"/>
      <c r="AJ36" s="1563"/>
      <c r="AK36" s="1570" t="s">
        <v>425</v>
      </c>
      <c r="AN36" s="306"/>
      <c r="AO36" s="306"/>
      <c r="AP36" s="306"/>
      <c r="AQ36" s="306"/>
      <c r="AR36" s="306"/>
      <c r="AS36" s="356">
        <v>0</v>
      </c>
    </row>
    <row r="37" spans="1:45" ht="14.65" customHeight="1">
      <c r="Q37" s="314"/>
      <c r="R37" s="314"/>
      <c r="S37" s="1203"/>
      <c r="T37" s="395"/>
      <c r="U37" s="1172"/>
      <c r="V37" s="2206"/>
      <c r="W37" s="2206"/>
      <c r="X37" s="2206"/>
      <c r="Y37" s="2206"/>
      <c r="Z37" s="2206"/>
      <c r="AA37" s="2206"/>
      <c r="AB37" s="2206"/>
      <c r="AC37" s="2206"/>
      <c r="AD37" s="2206"/>
      <c r="AE37" s="2206"/>
      <c r="AF37" s="2206"/>
      <c r="AG37" s="2206"/>
      <c r="AH37" s="2206"/>
      <c r="AI37" s="2206"/>
      <c r="AJ37" s="2206"/>
      <c r="AK37" s="2206"/>
      <c r="AS37" s="1559">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559">
        <v>14</v>
      </c>
    </row>
    <row r="39" spans="1:45" ht="14.65" customHeight="1">
      <c r="Q39" s="314"/>
      <c r="R39" s="314"/>
      <c r="S39" s="2207" t="s">
        <v>87</v>
      </c>
      <c r="T39" s="2155" t="s">
        <v>426</v>
      </c>
      <c r="U39" s="275"/>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559">
        <v>14</v>
      </c>
    </row>
    <row r="40" spans="1:45" ht="35.65" customHeight="1">
      <c r="Q40" s="314"/>
      <c r="R40" s="314"/>
      <c r="S40" s="2207"/>
      <c r="T40" s="2155"/>
      <c r="U40" s="962"/>
      <c r="V40" s="2125" t="s">
        <v>431</v>
      </c>
      <c r="W40" s="2203" t="s">
        <v>432</v>
      </c>
      <c r="X40" s="2048" t="s">
        <v>433</v>
      </c>
      <c r="Y40" s="2047"/>
      <c r="Z40" s="2048" t="s">
        <v>447</v>
      </c>
      <c r="AA40" s="2053"/>
      <c r="AB40" s="2047"/>
      <c r="AC40" s="2212"/>
      <c r="AD40" s="2125" t="s">
        <v>431</v>
      </c>
      <c r="AE40" s="2203" t="s">
        <v>432</v>
      </c>
      <c r="AF40" s="2048" t="s">
        <v>433</v>
      </c>
      <c r="AG40" s="2047"/>
      <c r="AH40" s="2048" t="s">
        <v>434</v>
      </c>
      <c r="AI40" s="2053"/>
      <c r="AJ40" s="2047"/>
      <c r="AK40" s="2212"/>
      <c r="AL40" s="2215"/>
      <c r="AM40" s="2066"/>
      <c r="AS40" s="1559">
        <v>34</v>
      </c>
    </row>
    <row r="41" spans="1:45" ht="35.65" customHeight="1">
      <c r="A41" s="1194"/>
      <c r="B41" s="1194" t="s">
        <v>135</v>
      </c>
      <c r="C41" s="1194" t="s">
        <v>136</v>
      </c>
      <c r="D41" s="1194" t="s">
        <v>137</v>
      </c>
      <c r="E41" s="1238" t="s">
        <v>435</v>
      </c>
      <c r="F41" s="1238" t="s">
        <v>436</v>
      </c>
      <c r="G41" s="1238" t="s">
        <v>437</v>
      </c>
      <c r="H41" s="1238" t="s">
        <v>438</v>
      </c>
      <c r="I41" s="1238" t="s">
        <v>439</v>
      </c>
      <c r="J41" s="1238" t="s">
        <v>440</v>
      </c>
      <c r="K41" s="1238" t="s">
        <v>441</v>
      </c>
      <c r="L41" s="1238" t="s">
        <v>416</v>
      </c>
      <c r="Q41" s="314"/>
      <c r="R41" s="314"/>
      <c r="S41" s="2207"/>
      <c r="T41" s="2155"/>
      <c r="U41" s="240"/>
      <c r="V41" s="2180"/>
      <c r="W41" s="2204"/>
      <c r="X41" s="1861" t="s">
        <v>442</v>
      </c>
      <c r="Y41" s="1861" t="s">
        <v>443</v>
      </c>
      <c r="Z41" s="1861" t="s">
        <v>444</v>
      </c>
      <c r="AA41" s="2160" t="s">
        <v>445</v>
      </c>
      <c r="AB41" s="2174"/>
      <c r="AC41" s="2213"/>
      <c r="AD41" s="2180"/>
      <c r="AE41" s="2204"/>
      <c r="AF41" s="1861" t="s">
        <v>442</v>
      </c>
      <c r="AG41" s="1861" t="s">
        <v>443</v>
      </c>
      <c r="AH41" s="1861" t="s">
        <v>444</v>
      </c>
      <c r="AI41" s="2160" t="s">
        <v>445</v>
      </c>
      <c r="AJ41" s="2174"/>
      <c r="AK41" s="2213"/>
      <c r="AL41" s="2216"/>
      <c r="AM41" s="2066"/>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205">
        <f ca="1">OFFSET(AA42,0,-1)+1</f>
        <v>4</v>
      </c>
      <c r="AB42" s="2205"/>
      <c r="AC42" s="1879">
        <f ca="1">OFFSET(AC42,0,-2)+1</f>
        <v>5</v>
      </c>
      <c r="AD42" s="1879">
        <f ca="1">OFFSET(AD42,0,-1)+1</f>
        <v>6</v>
      </c>
      <c r="AE42" s="1879"/>
      <c r="AF42" s="1879">
        <f ca="1">OFFSET(AF42,0,-1)+1</f>
        <v>1</v>
      </c>
      <c r="AG42" s="1879">
        <f ca="1">OFFSET(AG42,0,-1)+1</f>
        <v>2</v>
      </c>
      <c r="AH42" s="1879">
        <f ca="1">OFFSET(AH42,0,-1)+1</f>
        <v>3</v>
      </c>
      <c r="AI42" s="2205">
        <f ca="1">OFFSET(AI42,0,-1)+1</f>
        <v>4</v>
      </c>
      <c r="AJ42" s="2205"/>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220">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221"/>
      <c r="F44" s="2220">
        <v>1</v>
      </c>
      <c r="G44" s="1195"/>
      <c r="H44" s="1195"/>
      <c r="I44" s="1195"/>
      <c r="J44" s="1195"/>
      <c r="K44" s="1195"/>
      <c r="L44" s="1238"/>
      <c r="M44" s="1538"/>
      <c r="N44" s="1538"/>
      <c r="O44" s="1538"/>
      <c r="P44" s="1863"/>
      <c r="Q44" s="290"/>
      <c r="R44" s="291"/>
      <c r="S44" s="1881" t="str">
        <f>INDEX(PT_DIFFERENTIATION_NUM_TER,MATCH(B44,PT_DIFFERENTIATION_TER_ID,0))</f>
        <v>.</v>
      </c>
      <c r="T44" s="1450"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221"/>
      <c r="F45" s="2221"/>
      <c r="G45" s="2220">
        <v>1</v>
      </c>
      <c r="H45" s="1195"/>
      <c r="I45" s="1195"/>
      <c r="J45" s="1195"/>
      <c r="K45" s="1195"/>
      <c r="L45" s="1238"/>
      <c r="M45" s="1538"/>
      <c r="N45" s="1538"/>
      <c r="O45" s="1538"/>
      <c r="P45" s="292"/>
      <c r="Q45" s="290"/>
      <c r="R45" s="291"/>
      <c r="S45" s="1881"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221"/>
      <c r="F46" s="2221"/>
      <c r="G46" s="2221"/>
      <c r="H46" s="2220">
        <v>1</v>
      </c>
      <c r="I46" s="1195"/>
      <c r="J46" s="1195"/>
      <c r="K46" s="1195"/>
      <c r="L46" s="1238"/>
      <c r="M46" s="1538"/>
      <c r="N46" s="1538"/>
      <c r="O46" s="1538"/>
      <c r="P46" s="292"/>
      <c r="Q46" s="290"/>
      <c r="R46" s="291"/>
      <c r="S46" s="1881"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221"/>
      <c r="F47" s="2221"/>
      <c r="G47" s="2221"/>
      <c r="H47" s="2221"/>
      <c r="I47" s="2066" t="str">
        <f>S46&amp;".1"</f>
        <v>....1</v>
      </c>
      <c r="J47" s="1195"/>
      <c r="K47" s="1195"/>
      <c r="L47" s="1238" t="s">
        <v>401</v>
      </c>
      <c r="P47" s="2198">
        <v>1</v>
      </c>
      <c r="Q47" s="1877"/>
      <c r="R47" s="294"/>
      <c r="S47" s="1881"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221"/>
      <c r="F48" s="2221"/>
      <c r="G48" s="2221"/>
      <c r="H48" s="2221"/>
      <c r="I48" s="2048"/>
      <c r="J48" s="2066" t="str">
        <f>I47&amp;".1"</f>
        <v>....1.1</v>
      </c>
      <c r="K48" s="1195"/>
      <c r="L48" s="1238" t="s">
        <v>404</v>
      </c>
      <c r="P48" s="2198"/>
      <c r="Q48" s="2198">
        <v>1</v>
      </c>
      <c r="R48" s="295"/>
      <c r="S48" s="1881"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221"/>
      <c r="F49" s="2221"/>
      <c r="G49" s="2221"/>
      <c r="H49" s="2221"/>
      <c r="I49" s="2048"/>
      <c r="J49" s="2048"/>
      <c r="K49" s="2066" t="str">
        <f>J48&amp;".1"</f>
        <v>....1.1.1</v>
      </c>
      <c r="L49" s="1238" t="s">
        <v>407</v>
      </c>
      <c r="P49" s="2198"/>
      <c r="Q49" s="2198"/>
      <c r="R49" s="295">
        <v>1</v>
      </c>
      <c r="S49" s="1881" t="str">
        <f>$K49</f>
        <v>....1.1.1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408</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221"/>
      <c r="F50" s="2221"/>
      <c r="G50" s="2221"/>
      <c r="H50" s="2221"/>
      <c r="I50" s="2048"/>
      <c r="J50" s="2048"/>
      <c r="K50" s="2066"/>
      <c r="L50" s="1238"/>
      <c r="P50" s="2198"/>
      <c r="Q50" s="2198"/>
      <c r="R50" s="295"/>
      <c r="S50" s="189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1552"/>
      <c r="AP50" s="1552" t="str">
        <f t="shared" si="1"/>
        <v/>
      </c>
      <c r="AQ50" s="1552"/>
      <c r="AR50" s="1552"/>
      <c r="AS50" s="1559">
        <v>1</v>
      </c>
    </row>
    <row r="51" spans="1:45" ht="11.45" customHeight="1">
      <c r="A51" s="1195" t="s">
        <v>210</v>
      </c>
      <c r="B51" s="1195" t="s">
        <v>211</v>
      </c>
      <c r="C51" s="1195" t="s">
        <v>212</v>
      </c>
      <c r="D51" s="1195" t="s">
        <v>213</v>
      </c>
      <c r="E51" s="2221"/>
      <c r="F51" s="2221"/>
      <c r="G51" s="2221"/>
      <c r="H51" s="2221"/>
      <c r="I51" s="2048"/>
      <c r="J51" s="2066"/>
      <c r="K51" s="1195"/>
      <c r="L51" s="1238"/>
      <c r="P51" s="2198"/>
      <c r="Q51" s="2198"/>
      <c r="R51" s="294"/>
      <c r="S51" s="1206"/>
      <c r="T51" s="226" t="s">
        <v>409</v>
      </c>
      <c r="U51" s="538"/>
      <c r="V51" s="538"/>
      <c r="W51" s="538"/>
      <c r="X51" s="538"/>
      <c r="Y51" s="538"/>
      <c r="Z51" s="538"/>
      <c r="AA51" s="538"/>
      <c r="AB51" s="538"/>
      <c r="AC51" s="538"/>
      <c r="AD51" s="538"/>
      <c r="AE51" s="538"/>
      <c r="AF51" s="538"/>
      <c r="AG51" s="538"/>
      <c r="AH51" s="538"/>
      <c r="AI51" s="538"/>
      <c r="AJ51" s="538"/>
      <c r="AK51" s="538"/>
      <c r="AL51" s="262"/>
      <c r="AM51" s="2219"/>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221"/>
      <c r="F52" s="2221"/>
      <c r="G52" s="2221"/>
      <c r="H52" s="2221"/>
      <c r="I52" s="2066"/>
      <c r="J52" s="1195"/>
      <c r="K52" s="1195"/>
      <c r="L52" s="1238"/>
      <c r="P52" s="2198"/>
      <c r="Q52" s="1877"/>
      <c r="R52" s="294"/>
      <c r="S52" s="1206"/>
      <c r="T52" s="225" t="s">
        <v>410</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221"/>
      <c r="F53" s="2221"/>
      <c r="G53" s="2221"/>
      <c r="H53" s="2220"/>
      <c r="I53" s="1195"/>
      <c r="J53" s="1195"/>
      <c r="K53" s="1195"/>
      <c r="L53" s="1238"/>
      <c r="M53" s="1538"/>
      <c r="N53" s="1538"/>
      <c r="O53" s="1563"/>
      <c r="P53" s="298"/>
      <c r="Q53" s="313"/>
      <c r="R53" s="293"/>
      <c r="S53" s="1206"/>
      <c r="T53" s="303" t="s">
        <v>411</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1500000000000004" customHeight="1">
      <c r="A54" s="1303" t="s">
        <v>210</v>
      </c>
      <c r="B54" s="1303" t="s">
        <v>211</v>
      </c>
      <c r="C54" s="1303" t="s">
        <v>212</v>
      </c>
      <c r="D54" s="1302"/>
      <c r="E54" s="2221"/>
      <c r="F54" s="2221"/>
      <c r="G54" s="2220"/>
      <c r="H54" s="1302"/>
      <c r="I54" s="1302"/>
      <c r="J54" s="1302"/>
      <c r="K54" s="1302"/>
      <c r="L54" s="1305"/>
      <c r="M54" s="1306"/>
      <c r="N54" s="1306"/>
      <c r="O54" s="289"/>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1500000000000004" customHeight="1">
      <c r="A55" s="1303" t="s">
        <v>210</v>
      </c>
      <c r="B55" s="1303" t="s">
        <v>211</v>
      </c>
      <c r="C55" s="1302"/>
      <c r="D55" s="1302"/>
      <c r="E55" s="2221"/>
      <c r="F55" s="2220"/>
      <c r="G55" s="1302"/>
      <c r="H55" s="1302"/>
      <c r="I55" s="1302"/>
      <c r="J55" s="1302"/>
      <c r="K55" s="1302"/>
      <c r="L55" s="1305"/>
      <c r="M55" s="1307"/>
      <c r="N55" s="1307"/>
      <c r="O55" s="28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1500000000000004" customHeight="1">
      <c r="A56" s="1303" t="s">
        <v>210</v>
      </c>
      <c r="B56" s="1303"/>
      <c r="C56" s="1303"/>
      <c r="D56" s="1303"/>
      <c r="E56" s="2220"/>
      <c r="F56" s="1303"/>
      <c r="G56" s="1303"/>
      <c r="H56" s="1303"/>
      <c r="I56" s="1303"/>
      <c r="J56" s="1303"/>
      <c r="K56" s="1303"/>
      <c r="L56" s="1309"/>
      <c r="M56" s="1307"/>
      <c r="N56" s="1307"/>
      <c r="O56" s="289"/>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1500000000000004" customHeight="1">
      <c r="A57" s="1302"/>
      <c r="B57" s="1302"/>
      <c r="C57" s="1302"/>
      <c r="D57" s="1302"/>
      <c r="E57" s="1303"/>
      <c r="F57" s="1302"/>
      <c r="G57" s="1302"/>
      <c r="H57" s="1302"/>
      <c r="I57" s="1302"/>
      <c r="J57" s="1302"/>
      <c r="K57" s="1302"/>
      <c r="L57" s="1305"/>
      <c r="M57" s="1307"/>
      <c r="N57" s="1307"/>
      <c r="O57" s="28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559">
        <v>27</v>
      </c>
    </row>
    <row r="60" spans="1:45" ht="65.25" customHeight="1">
      <c r="O60" s="1563"/>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559">
        <v>62</v>
      </c>
    </row>
    <row r="61" spans="1:45" ht="14.65" customHeight="1">
      <c r="O61" s="1563"/>
      <c r="AS61" s="1559">
        <v>14</v>
      </c>
    </row>
    <row r="62" spans="1:45" ht="18.75" customHeight="1">
      <c r="O62" s="1563"/>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559">
        <v>18</v>
      </c>
    </row>
    <row r="63" spans="1:45" ht="18.75" customHeight="1">
      <c r="O63" s="1563"/>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559">
        <v>18</v>
      </c>
    </row>
    <row r="64" spans="1:45" ht="29.25" customHeight="1">
      <c r="O64" s="1563"/>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20">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1552"/>
      <c r="AP2" s="1552" t="str">
        <f t="shared" ref="AP2:AP15" si="0">IF(T2="","",T2)</f>
        <v>Наименование тарифа</v>
      </c>
      <c r="AQ2" s="1552"/>
      <c r="AR2" s="1552"/>
      <c r="AS2" s="1559">
        <v>0</v>
      </c>
    </row>
    <row r="3" spans="1:45" ht="21" hidden="1" customHeight="1">
      <c r="A3" s="1195"/>
      <c r="B3" s="1195"/>
      <c r="C3" s="1195"/>
      <c r="D3" s="1195"/>
      <c r="E3" s="2221"/>
      <c r="F3" s="2220">
        <v>1</v>
      </c>
      <c r="G3" s="1195"/>
      <c r="H3" s="1195"/>
      <c r="I3" s="1195"/>
      <c r="J3" s="1195"/>
      <c r="K3" s="1195"/>
      <c r="L3" s="1238"/>
      <c r="M3" s="1538"/>
      <c r="N3" s="1538"/>
      <c r="O3" s="1538"/>
      <c r="P3" s="1863"/>
      <c r="Q3" s="290"/>
      <c r="R3" s="291"/>
      <c r="S3" s="1881" t="e">
        <f>INDEX(PT_DIFFERENTIATION_NUM_TER,MATCH(B3,PT_DIFFERENTIATION_TER_ID,0))</f>
        <v>#N/A</v>
      </c>
      <c r="T3" s="1450"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1552"/>
      <c r="AP3" s="1552" t="str">
        <f t="shared" si="0"/>
        <v>Территория действия тарифа</v>
      </c>
      <c r="AQ3" s="1552"/>
      <c r="AR3" s="1552"/>
      <c r="AS3" s="1559">
        <v>0</v>
      </c>
    </row>
    <row r="4" spans="1:45" ht="23.25" hidden="1" customHeight="1">
      <c r="A4" s="1195"/>
      <c r="B4" s="1195"/>
      <c r="C4" s="1195"/>
      <c r="D4" s="1195"/>
      <c r="E4" s="2221"/>
      <c r="F4" s="2221"/>
      <c r="G4" s="2220">
        <v>1</v>
      </c>
      <c r="H4" s="1195"/>
      <c r="I4" s="1195"/>
      <c r="J4" s="1195"/>
      <c r="K4" s="1195"/>
      <c r="L4" s="1238"/>
      <c r="M4" s="1538"/>
      <c r="N4" s="1538"/>
      <c r="O4" s="1538"/>
      <c r="P4" s="292"/>
      <c r="Q4" s="290"/>
      <c r="R4" s="291"/>
      <c r="S4" s="1881"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21"/>
      <c r="F5" s="2221"/>
      <c r="G5" s="2221"/>
      <c r="H5" s="2220">
        <v>1</v>
      </c>
      <c r="I5" s="1195"/>
      <c r="J5" s="1195"/>
      <c r="K5" s="1195"/>
      <c r="L5" s="1238"/>
      <c r="M5" s="1538"/>
      <c r="N5" s="1538"/>
      <c r="O5" s="1538"/>
      <c r="P5" s="292"/>
      <c r="Q5" s="290"/>
      <c r="R5" s="291"/>
      <c r="S5" s="1881"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1552"/>
      <c r="AP5" s="1552" t="str">
        <f t="shared" si="0"/>
        <v xml:space="preserve">Источник тепловой энергии  </v>
      </c>
      <c r="AQ5" s="1552"/>
      <c r="AR5" s="1552"/>
      <c r="AS5" s="1559">
        <v>0</v>
      </c>
    </row>
    <row r="6" spans="1:45" ht="47.25" hidden="1" customHeight="1">
      <c r="A6" s="1195"/>
      <c r="B6" s="1195"/>
      <c r="C6" s="1195"/>
      <c r="D6" s="1195"/>
      <c r="E6" s="2221"/>
      <c r="F6" s="2221"/>
      <c r="G6" s="2221"/>
      <c r="H6" s="2221"/>
      <c r="I6" s="2066" t="e">
        <f>S5&amp;".1"</f>
        <v>#N/A</v>
      </c>
      <c r="J6" s="1195"/>
      <c r="K6" s="1195"/>
      <c r="L6" s="1238" t="s">
        <v>401</v>
      </c>
      <c r="M6" s="1563"/>
      <c r="P6" s="2198">
        <v>1</v>
      </c>
      <c r="Q6" s="1877"/>
      <c r="R6" s="294"/>
      <c r="S6" s="1881"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21"/>
      <c r="F7" s="2221"/>
      <c r="G7" s="2221"/>
      <c r="H7" s="2221"/>
      <c r="I7" s="2048"/>
      <c r="J7" s="2066" t="e">
        <f>I6&amp;".1"</f>
        <v>#N/A</v>
      </c>
      <c r="K7" s="1195"/>
      <c r="L7" s="1238" t="s">
        <v>404</v>
      </c>
      <c r="M7" s="1563"/>
      <c r="N7" s="1559"/>
      <c r="P7" s="2198"/>
      <c r="Q7" s="2198">
        <v>1</v>
      </c>
      <c r="R7" s="295"/>
      <c r="S7" s="1881"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1552"/>
      <c r="AP7" s="1552" t="str">
        <f t="shared" si="0"/>
        <v>Группа потребителей</v>
      </c>
      <c r="AQ7" s="1552"/>
      <c r="AR7" s="1552"/>
      <c r="AS7" s="1559">
        <v>0</v>
      </c>
    </row>
    <row r="8" spans="1:45" ht="21" hidden="1" customHeight="1">
      <c r="A8" s="1195"/>
      <c r="B8" s="1195"/>
      <c r="C8" s="1195"/>
      <c r="D8" s="1195"/>
      <c r="E8" s="2221"/>
      <c r="F8" s="2221"/>
      <c r="G8" s="2221"/>
      <c r="H8" s="2221"/>
      <c r="I8" s="2048"/>
      <c r="J8" s="2048"/>
      <c r="K8" s="2066" t="e">
        <f>J7&amp;".1"</f>
        <v>#N/A</v>
      </c>
      <c r="L8" s="1238" t="s">
        <v>407</v>
      </c>
      <c r="M8" s="1563"/>
      <c r="N8" s="1559"/>
      <c r="O8" s="1559"/>
      <c r="P8" s="2198"/>
      <c r="Q8" s="2198"/>
      <c r="R8" s="295">
        <v>1</v>
      </c>
      <c r="S8" s="1881"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1564" t="e">
        <f ca="1">STRCHECKDATE(V9:AL9)</f>
        <v>#NAME?</v>
      </c>
      <c r="AO8" s="1552"/>
      <c r="AP8" s="1552" t="str">
        <f t="shared" si="0"/>
        <v/>
      </c>
      <c r="AQ8" s="1552"/>
      <c r="AR8" s="1552"/>
      <c r="AS8" s="1559">
        <v>0</v>
      </c>
    </row>
    <row r="9" spans="1:45" ht="0.75" hidden="1" customHeight="1">
      <c r="A9" s="1195"/>
      <c r="B9" s="1195"/>
      <c r="C9" s="1195"/>
      <c r="D9" s="1195"/>
      <c r="E9" s="2221"/>
      <c r="F9" s="2221"/>
      <c r="G9" s="2221"/>
      <c r="H9" s="2221"/>
      <c r="I9" s="2048"/>
      <c r="J9" s="2048"/>
      <c r="K9" s="2066"/>
      <c r="L9" s="1238"/>
      <c r="M9" s="1563"/>
      <c r="N9" s="1559"/>
      <c r="O9" s="1559"/>
      <c r="P9" s="2198"/>
      <c r="Q9" s="2198"/>
      <c r="R9" s="295"/>
      <c r="S9" s="189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1552"/>
      <c r="AP9" s="1552" t="str">
        <f t="shared" si="0"/>
        <v/>
      </c>
      <c r="AQ9" s="1552"/>
      <c r="AR9" s="1552"/>
      <c r="AS9" s="1559">
        <v>0</v>
      </c>
    </row>
    <row r="10" spans="1:45" ht="15" hidden="1" customHeight="1">
      <c r="A10" s="1195"/>
      <c r="B10" s="1195"/>
      <c r="C10" s="1195"/>
      <c r="D10" s="1195"/>
      <c r="E10" s="2221"/>
      <c r="F10" s="2221"/>
      <c r="G10" s="2221"/>
      <c r="H10" s="2221"/>
      <c r="I10" s="2048"/>
      <c r="J10" s="2066"/>
      <c r="K10" s="1195"/>
      <c r="L10" s="1238"/>
      <c r="M10" s="1563"/>
      <c r="N10" s="1559"/>
      <c r="P10" s="2198"/>
      <c r="Q10" s="2198"/>
      <c r="R10" s="294"/>
      <c r="S10" s="1206"/>
      <c r="T10" s="226" t="s">
        <v>409</v>
      </c>
      <c r="U10" s="538"/>
      <c r="V10" s="538"/>
      <c r="W10" s="538"/>
      <c r="X10" s="538"/>
      <c r="Y10" s="538"/>
      <c r="Z10" s="538"/>
      <c r="AA10" s="538"/>
      <c r="AB10" s="538"/>
      <c r="AC10" s="538"/>
      <c r="AD10" s="538"/>
      <c r="AE10" s="538"/>
      <c r="AF10" s="538"/>
      <c r="AG10" s="538"/>
      <c r="AH10" s="538"/>
      <c r="AI10" s="538"/>
      <c r="AJ10" s="538"/>
      <c r="AK10" s="538"/>
      <c r="AL10" s="262"/>
      <c r="AM10" s="2219"/>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21"/>
      <c r="F11" s="2221"/>
      <c r="G11" s="2221"/>
      <c r="H11" s="2221"/>
      <c r="I11" s="2066"/>
      <c r="J11" s="1195"/>
      <c r="K11" s="1195"/>
      <c r="L11" s="1238"/>
      <c r="M11" s="1563"/>
      <c r="P11" s="2198"/>
      <c r="Q11" s="1877"/>
      <c r="R11" s="294"/>
      <c r="S11" s="1206"/>
      <c r="T11" s="225" t="s">
        <v>410</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21"/>
      <c r="F12" s="2221"/>
      <c r="G12" s="2221"/>
      <c r="H12" s="2220"/>
      <c r="I12" s="1195"/>
      <c r="J12" s="1195"/>
      <c r="K12" s="1195"/>
      <c r="L12" s="1238"/>
      <c r="M12" s="1538"/>
      <c r="N12" s="1538"/>
      <c r="O12" s="1563"/>
      <c r="P12" s="298"/>
      <c r="Q12" s="313"/>
      <c r="R12" s="293"/>
      <c r="S12" s="1206"/>
      <c r="T12" s="303" t="s">
        <v>411</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221"/>
      <c r="F13" s="2221"/>
      <c r="G13" s="2220"/>
      <c r="H13" s="1897"/>
      <c r="I13" s="1897"/>
      <c r="J13" s="1897"/>
      <c r="K13" s="1897"/>
      <c r="L13" s="1308"/>
      <c r="M13" s="1538"/>
      <c r="N13" s="1538"/>
      <c r="O13" s="156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221"/>
      <c r="F14" s="2220"/>
      <c r="G14" s="1897"/>
      <c r="H14" s="1897"/>
      <c r="I14" s="1897"/>
      <c r="J14" s="1897"/>
      <c r="K14" s="1897"/>
      <c r="L14" s="1308"/>
      <c r="M14" s="1898"/>
      <c r="N14" s="1898"/>
      <c r="O14" s="1563"/>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220"/>
      <c r="F15" s="1897"/>
      <c r="G15" s="1897"/>
      <c r="H15" s="1897"/>
      <c r="I15" s="1897"/>
      <c r="J15" s="1897"/>
      <c r="K15" s="1897"/>
      <c r="L15" s="1308"/>
      <c r="M15" s="1898"/>
      <c r="N15" s="1898"/>
      <c r="O15" s="1563"/>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92"/>
      <c r="AI17" s="2191" t="s">
        <v>65</v>
      </c>
      <c r="AJ17" s="2192"/>
      <c r="AK17" s="2191" t="s">
        <v>65</v>
      </c>
      <c r="AS17" s="1559">
        <v>0</v>
      </c>
    </row>
    <row r="18" spans="1:45" ht="14.25" hidden="1" customHeight="1">
      <c r="AD18" s="1288"/>
      <c r="AE18" s="1288"/>
      <c r="AF18" s="1288"/>
      <c r="AG18" s="266" t="str">
        <f>AH17&amp;"-"&amp;AJ17</f>
        <v>-</v>
      </c>
      <c r="AH18" s="2191"/>
      <c r="AI18" s="2191"/>
      <c r="AJ18" s="2191"/>
      <c r="AK18" s="2191"/>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415</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416</v>
      </c>
      <c r="P22" s="1290"/>
      <c r="Q22" s="1299"/>
      <c r="R22" s="1299"/>
      <c r="S22" s="667"/>
      <c r="T22" s="1294" t="s">
        <v>417</v>
      </c>
      <c r="AA22" s="533" t="s">
        <v>418</v>
      </c>
      <c r="AC22" s="533" t="s">
        <v>419</v>
      </c>
      <c r="AD22" s="1294" t="s">
        <v>417</v>
      </c>
      <c r="AI22" s="533" t="s">
        <v>420</v>
      </c>
      <c r="AK22" s="533" t="s">
        <v>419</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559">
        <v>14</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85" t="s">
        <v>42</v>
      </c>
      <c r="T29" s="2185"/>
      <c r="U29" s="1300"/>
      <c r="V29" s="2187" t="str">
        <f>IF(TITLE_NAME_OR_PR_CHANGE="",IF(TITLE_NAME_OR_PR="","",TITLE_NAME_OR_PR),TITLE_NAME_OR_PR_CHANGE)</f>
        <v/>
      </c>
      <c r="W29" s="2187"/>
      <c r="X29" s="2187"/>
      <c r="Y29" s="2187"/>
      <c r="Z29" s="2187"/>
      <c r="AA29" s="2187"/>
      <c r="AB29" s="2187"/>
      <c r="AC29" s="1563"/>
      <c r="AD29" s="2187" t="str">
        <f>IF(TITLE_NAME_OR_PR_CHANGE="",IF(TITLE_NAME_OR_PR="","",TITLE_NAME_OR_PR),TITLE_NAME_OR_PR_CHANGE)</f>
        <v/>
      </c>
      <c r="AE29" s="2187"/>
      <c r="AF29" s="2187"/>
      <c r="AG29" s="2187"/>
      <c r="AH29" s="2187"/>
      <c r="AI29" s="2187"/>
      <c r="AJ29" s="2187"/>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85" t="s">
        <v>421</v>
      </c>
      <c r="T30" s="2185"/>
      <c r="U30" s="1300"/>
      <c r="V30" s="2186" t="str">
        <f>IF(TITLE_DATE_PR_CHANGE="",IF(TITLE_DATE_PR="","",TITLE_DATE_PR),TITLE_DATE_PR_CHANGE)</f>
        <v/>
      </c>
      <c r="W30" s="2186"/>
      <c r="X30" s="2186"/>
      <c r="Y30" s="2186"/>
      <c r="Z30" s="2186"/>
      <c r="AA30" s="2186"/>
      <c r="AB30" s="2186"/>
      <c r="AC30" s="1563"/>
      <c r="AD30" s="2186" t="str">
        <f>IF(TITLE_DATE_PR_CHANGE="",IF(TITLE_DATE_PR="","",TITLE_DATE_PR),TITLE_DATE_PR_CHANGE)</f>
        <v/>
      </c>
      <c r="AE30" s="2186"/>
      <c r="AF30" s="2186"/>
      <c r="AG30" s="2186"/>
      <c r="AH30" s="2186"/>
      <c r="AI30" s="2186"/>
      <c r="AJ30" s="2186"/>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85" t="s">
        <v>422</v>
      </c>
      <c r="T31" s="2185"/>
      <c r="U31" s="1300"/>
      <c r="V31" s="2187" t="str">
        <f>IF(TITLE_NUMBER_PR_CHANGE="",IF(TITLE_NUMBER_PR="","",TITLE_NUMBER_PR),TITLE_NUMBER_PR_CHANGE)</f>
        <v/>
      </c>
      <c r="W31" s="2187"/>
      <c r="X31" s="2187"/>
      <c r="Y31" s="2187"/>
      <c r="Z31" s="2187"/>
      <c r="AA31" s="2187"/>
      <c r="AB31" s="2187"/>
      <c r="AC31" s="1563"/>
      <c r="AD31" s="2187" t="str">
        <f>IF(TITLE_NUMBER_PR_CHANGE="",IF(TITLE_NUMBER_PR="","",TITLE_NUMBER_PR),TITLE_NUMBER_PR_CHANGE)</f>
        <v/>
      </c>
      <c r="AE31" s="2187"/>
      <c r="AF31" s="2187"/>
      <c r="AG31" s="2187"/>
      <c r="AH31" s="2187"/>
      <c r="AI31" s="2187"/>
      <c r="AJ31" s="2187"/>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85" t="s">
        <v>43</v>
      </c>
      <c r="T32" s="2185"/>
      <c r="U32" s="1300"/>
      <c r="V32" s="2187" t="str">
        <f>IF(TITLE_IST_PUB_CHANGE="",IF(TITLE_IST_PUB="","",TITLE_IST_PUB),TITLE_IST_PUB_CHANGE)</f>
        <v/>
      </c>
      <c r="W32" s="2187"/>
      <c r="X32" s="2187"/>
      <c r="Y32" s="2187"/>
      <c r="Z32" s="2187"/>
      <c r="AA32" s="2187"/>
      <c r="AB32" s="2187"/>
      <c r="AC32" s="1563"/>
      <c r="AD32" s="2187" t="str">
        <f>IF(TITLE_IST_PUB_CHANGE="",IF(TITLE_IST_PUB="","",TITLE_IST_PUB),TITLE_IST_PUB_CHANGE)</f>
        <v/>
      </c>
      <c r="AE32" s="2187"/>
      <c r="AF32" s="2187"/>
      <c r="AG32" s="2187"/>
      <c r="AH32" s="2187"/>
      <c r="AI32" s="2187"/>
      <c r="AJ32" s="2187"/>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85" t="s">
        <v>423</v>
      </c>
      <c r="T34" s="2185"/>
      <c r="U34" s="1300"/>
      <c r="V34" s="2186" t="str">
        <f>IF(TITLE_DATE_PR_CHANGE="",IF(TITLE_DATE_PR="","",TITLE_DATE_PR),TITLE_DATE_PR_CHANGE)</f>
        <v/>
      </c>
      <c r="W34" s="2186"/>
      <c r="X34" s="2186"/>
      <c r="Y34" s="2186"/>
      <c r="Z34" s="2186"/>
      <c r="AA34" s="2186"/>
      <c r="AB34" s="2186"/>
      <c r="AC34" s="1563"/>
      <c r="AD34" s="2186" t="str">
        <f>IF(TITLE_DATE_PR_CHANGE="",IF(TITLE_DATE_PR="","",TITLE_DATE_PR),TITLE_DATE_PR_CHANGE)</f>
        <v/>
      </c>
      <c r="AE34" s="2186"/>
      <c r="AF34" s="2186"/>
      <c r="AG34" s="2186"/>
      <c r="AH34" s="2186"/>
      <c r="AI34" s="2186"/>
      <c r="AJ34" s="2186"/>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85" t="s">
        <v>424</v>
      </c>
      <c r="T35" s="2185"/>
      <c r="U35" s="1300"/>
      <c r="V35" s="2187" t="str">
        <f>IF(TITLE_NUMBER_PR_CHANGE="",IF(TITLE_NUMBER_PR="","",TITLE_NUMBER_PR),TITLE_NUMBER_PR_CHANGE)</f>
        <v/>
      </c>
      <c r="W35" s="2187"/>
      <c r="X35" s="2187"/>
      <c r="Y35" s="2187"/>
      <c r="Z35" s="2187"/>
      <c r="AA35" s="2187"/>
      <c r="AB35" s="2187"/>
      <c r="AC35" s="1563"/>
      <c r="AD35" s="2187" t="str">
        <f>IF(TITLE_NUMBER_PR_CHANGE="",IF(TITLE_NUMBER_PR="","",TITLE_NUMBER_PR),TITLE_NUMBER_PR_CHANGE)</f>
        <v/>
      </c>
      <c r="AE35" s="2187"/>
      <c r="AF35" s="2187"/>
      <c r="AG35" s="2187"/>
      <c r="AH35" s="2187"/>
      <c r="AI35" s="2187"/>
      <c r="AJ35" s="2187"/>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425</v>
      </c>
      <c r="AD36" s="1563"/>
      <c r="AE36" s="1563"/>
      <c r="AF36" s="1563"/>
      <c r="AG36" s="1563"/>
      <c r="AH36" s="1563"/>
      <c r="AI36" s="1563"/>
      <c r="AJ36" s="1563"/>
      <c r="AK36" s="1570" t="s">
        <v>425</v>
      </c>
      <c r="AN36" s="306"/>
      <c r="AO36" s="306"/>
      <c r="AP36" s="306"/>
      <c r="AQ36" s="306"/>
      <c r="AR36" s="306"/>
      <c r="AS36" s="356">
        <v>0</v>
      </c>
    </row>
    <row r="37" spans="1:45" ht="14.65" customHeight="1">
      <c r="Q37" s="314"/>
      <c r="R37" s="314"/>
      <c r="S37" s="1203"/>
      <c r="T37" s="395"/>
      <c r="U37" s="1172"/>
      <c r="V37" s="2206"/>
      <c r="W37" s="2206"/>
      <c r="X37" s="2206"/>
      <c r="Y37" s="2206"/>
      <c r="Z37" s="2206"/>
      <c r="AA37" s="2206"/>
      <c r="AB37" s="2206"/>
      <c r="AC37" s="2206"/>
      <c r="AD37" s="2206"/>
      <c r="AE37" s="2206"/>
      <c r="AF37" s="2206"/>
      <c r="AG37" s="2206"/>
      <c r="AH37" s="2206"/>
      <c r="AI37" s="2206"/>
      <c r="AJ37" s="2206"/>
      <c r="AK37" s="2206"/>
      <c r="AS37" s="1559">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559">
        <v>14</v>
      </c>
    </row>
    <row r="39" spans="1:45" ht="14.65" customHeight="1">
      <c r="Q39" s="314"/>
      <c r="R39" s="314"/>
      <c r="S39" s="2207" t="s">
        <v>87</v>
      </c>
      <c r="T39" s="2155" t="s">
        <v>426</v>
      </c>
      <c r="U39" s="275"/>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559">
        <v>14</v>
      </c>
    </row>
    <row r="40" spans="1:45" ht="35.65" customHeight="1">
      <c r="Q40" s="314"/>
      <c r="R40" s="314"/>
      <c r="S40" s="2207"/>
      <c r="T40" s="2155"/>
      <c r="U40" s="962"/>
      <c r="V40" s="2125" t="s">
        <v>431</v>
      </c>
      <c r="W40" s="2203" t="s">
        <v>432</v>
      </c>
      <c r="X40" s="2048" t="s">
        <v>433</v>
      </c>
      <c r="Y40" s="2047"/>
      <c r="Z40" s="2048" t="s">
        <v>447</v>
      </c>
      <c r="AA40" s="2053"/>
      <c r="AB40" s="2047"/>
      <c r="AC40" s="2212"/>
      <c r="AD40" s="2125" t="s">
        <v>431</v>
      </c>
      <c r="AE40" s="2203" t="s">
        <v>432</v>
      </c>
      <c r="AF40" s="2048" t="s">
        <v>433</v>
      </c>
      <c r="AG40" s="2047"/>
      <c r="AH40" s="2048" t="s">
        <v>434</v>
      </c>
      <c r="AI40" s="2053"/>
      <c r="AJ40" s="2047"/>
      <c r="AK40" s="2212"/>
      <c r="AL40" s="2215"/>
      <c r="AM40" s="2066"/>
      <c r="AS40" s="1559">
        <v>34</v>
      </c>
    </row>
    <row r="41" spans="1:45" ht="35.65" customHeight="1">
      <c r="A41" s="1194"/>
      <c r="B41" s="1194" t="s">
        <v>135</v>
      </c>
      <c r="C41" s="1194" t="s">
        <v>136</v>
      </c>
      <c r="D41" s="1194" t="s">
        <v>137</v>
      </c>
      <c r="E41" s="1238" t="s">
        <v>435</v>
      </c>
      <c r="F41" s="1238" t="s">
        <v>436</v>
      </c>
      <c r="G41" s="1238" t="s">
        <v>437</v>
      </c>
      <c r="H41" s="1238" t="s">
        <v>438</v>
      </c>
      <c r="I41" s="1238" t="s">
        <v>439</v>
      </c>
      <c r="J41" s="1238" t="s">
        <v>440</v>
      </c>
      <c r="K41" s="1238" t="s">
        <v>441</v>
      </c>
      <c r="L41" s="1238" t="s">
        <v>416</v>
      </c>
      <c r="Q41" s="314"/>
      <c r="R41" s="314"/>
      <c r="S41" s="2207"/>
      <c r="T41" s="2155"/>
      <c r="U41" s="240"/>
      <c r="V41" s="2180"/>
      <c r="W41" s="2204"/>
      <c r="X41" s="1861" t="s">
        <v>442</v>
      </c>
      <c r="Y41" s="1861" t="s">
        <v>443</v>
      </c>
      <c r="Z41" s="1861" t="s">
        <v>444</v>
      </c>
      <c r="AA41" s="2160" t="s">
        <v>445</v>
      </c>
      <c r="AB41" s="2174"/>
      <c r="AC41" s="2213"/>
      <c r="AD41" s="2180"/>
      <c r="AE41" s="2204"/>
      <c r="AF41" s="1861" t="s">
        <v>442</v>
      </c>
      <c r="AG41" s="1861" t="s">
        <v>443</v>
      </c>
      <c r="AH41" s="1861" t="s">
        <v>444</v>
      </c>
      <c r="AI41" s="2160" t="s">
        <v>445</v>
      </c>
      <c r="AJ41" s="2174"/>
      <c r="AK41" s="2213"/>
      <c r="AL41" s="2216"/>
      <c r="AM41" s="2066"/>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205">
        <f ca="1">OFFSET(AA42,0,-1)+1</f>
        <v>4</v>
      </c>
      <c r="AB42" s="2205"/>
      <c r="AC42" s="1879">
        <f ca="1">OFFSET(AC42,0,-2)+1</f>
        <v>5</v>
      </c>
      <c r="AD42" s="1879">
        <f ca="1">OFFSET(AD42,0,-1)+1</f>
        <v>6</v>
      </c>
      <c r="AE42" s="1879"/>
      <c r="AF42" s="1879">
        <f ca="1">OFFSET(AF42,0,-1)+1</f>
        <v>1</v>
      </c>
      <c r="AG42" s="1879">
        <f ca="1">OFFSET(AG42,0,-1)+1</f>
        <v>2</v>
      </c>
      <c r="AH42" s="1879">
        <f ca="1">OFFSET(AH42,0,-1)+1</f>
        <v>3</v>
      </c>
      <c r="AI42" s="2205">
        <f ca="1">OFFSET(AI42,0,-1)+1</f>
        <v>4</v>
      </c>
      <c r="AJ42" s="2205"/>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220">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221"/>
      <c r="F44" s="2220">
        <v>1</v>
      </c>
      <c r="G44" s="1195"/>
      <c r="H44" s="1195"/>
      <c r="I44" s="1195"/>
      <c r="J44" s="1195"/>
      <c r="K44" s="1195"/>
      <c r="L44" s="1238"/>
      <c r="M44" s="1538"/>
      <c r="N44" s="1538"/>
      <c r="O44" s="1538"/>
      <c r="P44" s="1863"/>
      <c r="Q44" s="290"/>
      <c r="R44" s="291"/>
      <c r="S44" s="1881" t="str">
        <f>INDEX(PT_DIFFERENTIATION_NUM_TER,MATCH(B44,PT_DIFFERENTIATION_TER_ID,0))</f>
        <v>.</v>
      </c>
      <c r="T44" s="1450"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221"/>
      <c r="F45" s="2221"/>
      <c r="G45" s="2220">
        <v>1</v>
      </c>
      <c r="H45" s="1195"/>
      <c r="I45" s="1195"/>
      <c r="J45" s="1195"/>
      <c r="K45" s="1195"/>
      <c r="L45" s="1238"/>
      <c r="M45" s="1538"/>
      <c r="N45" s="1538"/>
      <c r="O45" s="1538"/>
      <c r="P45" s="292"/>
      <c r="Q45" s="290"/>
      <c r="R45" s="291"/>
      <c r="S45" s="1881"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221"/>
      <c r="F46" s="2221"/>
      <c r="G46" s="2221"/>
      <c r="H46" s="2220">
        <v>1</v>
      </c>
      <c r="I46" s="1195"/>
      <c r="J46" s="1195"/>
      <c r="K46" s="1195"/>
      <c r="L46" s="1238"/>
      <c r="M46" s="1538"/>
      <c r="N46" s="1538"/>
      <c r="O46" s="1538"/>
      <c r="P46" s="292"/>
      <c r="Q46" s="290"/>
      <c r="R46" s="291"/>
      <c r="S46" s="1881"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221"/>
      <c r="F47" s="2221"/>
      <c r="G47" s="2221"/>
      <c r="H47" s="2221"/>
      <c r="I47" s="2066" t="str">
        <f>S46&amp;".1"</f>
        <v>....1</v>
      </c>
      <c r="J47" s="1195"/>
      <c r="K47" s="1195"/>
      <c r="L47" s="1238" t="s">
        <v>401</v>
      </c>
      <c r="P47" s="2198">
        <v>1</v>
      </c>
      <c r="Q47" s="1877"/>
      <c r="R47" s="294"/>
      <c r="S47" s="1881"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221"/>
      <c r="F48" s="2221"/>
      <c r="G48" s="2221"/>
      <c r="H48" s="2221"/>
      <c r="I48" s="2048"/>
      <c r="J48" s="2066" t="str">
        <f>I47&amp;".1"</f>
        <v>....1.1</v>
      </c>
      <c r="K48" s="1195"/>
      <c r="L48" s="1238" t="s">
        <v>404</v>
      </c>
      <c r="P48" s="2198"/>
      <c r="Q48" s="2198">
        <v>1</v>
      </c>
      <c r="R48" s="295"/>
      <c r="S48" s="1881"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221"/>
      <c r="F49" s="2221"/>
      <c r="G49" s="2221"/>
      <c r="H49" s="2221"/>
      <c r="I49" s="2048"/>
      <c r="J49" s="2048"/>
      <c r="K49" s="2066" t="str">
        <f>J48&amp;".1"</f>
        <v>....1.1.1</v>
      </c>
      <c r="L49" s="1238" t="s">
        <v>407</v>
      </c>
      <c r="P49" s="2198"/>
      <c r="Q49" s="2198"/>
      <c r="R49" s="295">
        <v>1</v>
      </c>
      <c r="S49" s="1881" t="str">
        <f>$K49</f>
        <v>....1.1.1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408</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221"/>
      <c r="F50" s="2221"/>
      <c r="G50" s="2221"/>
      <c r="H50" s="2221"/>
      <c r="I50" s="2048"/>
      <c r="J50" s="2048"/>
      <c r="K50" s="2066"/>
      <c r="L50" s="1238"/>
      <c r="P50" s="2198"/>
      <c r="Q50" s="2198"/>
      <c r="R50" s="295"/>
      <c r="S50" s="189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1552"/>
      <c r="AP50" s="1552" t="str">
        <f t="shared" si="1"/>
        <v/>
      </c>
      <c r="AQ50" s="1552"/>
      <c r="AR50" s="1552"/>
      <c r="AS50" s="1559">
        <v>1</v>
      </c>
    </row>
    <row r="51" spans="1:45" ht="11.45" customHeight="1">
      <c r="A51" s="1195" t="s">
        <v>210</v>
      </c>
      <c r="B51" s="1195" t="s">
        <v>211</v>
      </c>
      <c r="C51" s="1195" t="s">
        <v>212</v>
      </c>
      <c r="D51" s="1195" t="s">
        <v>213</v>
      </c>
      <c r="E51" s="2221"/>
      <c r="F51" s="2221"/>
      <c r="G51" s="2221"/>
      <c r="H51" s="2221"/>
      <c r="I51" s="2048"/>
      <c r="J51" s="2066"/>
      <c r="K51" s="1195"/>
      <c r="L51" s="1238"/>
      <c r="P51" s="2198"/>
      <c r="Q51" s="2198"/>
      <c r="R51" s="294"/>
      <c r="S51" s="1206"/>
      <c r="T51" s="226" t="s">
        <v>409</v>
      </c>
      <c r="U51" s="538"/>
      <c r="V51" s="538"/>
      <c r="W51" s="538"/>
      <c r="X51" s="538"/>
      <c r="Y51" s="538"/>
      <c r="Z51" s="538"/>
      <c r="AA51" s="538"/>
      <c r="AB51" s="538"/>
      <c r="AC51" s="538"/>
      <c r="AD51" s="538"/>
      <c r="AE51" s="538"/>
      <c r="AF51" s="538"/>
      <c r="AG51" s="538"/>
      <c r="AH51" s="538"/>
      <c r="AI51" s="538"/>
      <c r="AJ51" s="538"/>
      <c r="AK51" s="538"/>
      <c r="AL51" s="262"/>
      <c r="AM51" s="2219"/>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221"/>
      <c r="F52" s="2221"/>
      <c r="G52" s="2221"/>
      <c r="H52" s="2221"/>
      <c r="I52" s="2066"/>
      <c r="J52" s="1195"/>
      <c r="K52" s="1195"/>
      <c r="L52" s="1238"/>
      <c r="P52" s="2198"/>
      <c r="Q52" s="1877"/>
      <c r="R52" s="294"/>
      <c r="S52" s="1206"/>
      <c r="T52" s="225" t="s">
        <v>410</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221"/>
      <c r="F53" s="2221"/>
      <c r="G53" s="2221"/>
      <c r="H53" s="2220"/>
      <c r="I53" s="1195"/>
      <c r="J53" s="1195"/>
      <c r="K53" s="1195"/>
      <c r="L53" s="1238"/>
      <c r="M53" s="1538"/>
      <c r="N53" s="1538"/>
      <c r="O53" s="1563"/>
      <c r="P53" s="298"/>
      <c r="Q53" s="313"/>
      <c r="R53" s="293"/>
      <c r="S53" s="1206"/>
      <c r="T53" s="303" t="s">
        <v>411</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1499999999999999" customHeight="1">
      <c r="A54" s="1195" t="s">
        <v>210</v>
      </c>
      <c r="B54" s="1195" t="s">
        <v>211</v>
      </c>
      <c r="C54" s="1195" t="s">
        <v>212</v>
      </c>
      <c r="D54" s="1897"/>
      <c r="E54" s="2221"/>
      <c r="F54" s="2221"/>
      <c r="G54" s="2220"/>
      <c r="H54" s="1897"/>
      <c r="I54" s="1897"/>
      <c r="J54" s="1897"/>
      <c r="K54" s="1897"/>
      <c r="L54" s="1308"/>
      <c r="M54" s="1538"/>
      <c r="N54" s="1538"/>
      <c r="O54" s="156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1499999999999999" customHeight="1">
      <c r="A55" s="1195" t="s">
        <v>210</v>
      </c>
      <c r="B55" s="1195" t="s">
        <v>211</v>
      </c>
      <c r="C55" s="1897"/>
      <c r="D55" s="1897"/>
      <c r="E55" s="2221"/>
      <c r="F55" s="2220"/>
      <c r="G55" s="1897"/>
      <c r="H55" s="1897"/>
      <c r="I55" s="1897"/>
      <c r="J55" s="1897"/>
      <c r="K55" s="1897"/>
      <c r="L55" s="1308"/>
      <c r="M55" s="1898"/>
      <c r="N55" s="1898"/>
      <c r="O55" s="1563"/>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1499999999999999" customHeight="1">
      <c r="A56" s="1195" t="s">
        <v>210</v>
      </c>
      <c r="B56" s="1195"/>
      <c r="C56" s="1195"/>
      <c r="D56" s="1195"/>
      <c r="E56" s="2220"/>
      <c r="F56" s="1195"/>
      <c r="G56" s="1195"/>
      <c r="H56" s="1195"/>
      <c r="I56" s="1195"/>
      <c r="J56" s="1195"/>
      <c r="K56" s="1195"/>
      <c r="L56" s="1238"/>
      <c r="M56" s="1898"/>
      <c r="N56" s="1898"/>
      <c r="O56" s="1563"/>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1499999999999999" customHeight="1">
      <c r="A57" s="1897"/>
      <c r="B57" s="1897"/>
      <c r="C57" s="1897"/>
      <c r="D57" s="1897"/>
      <c r="E57" s="1195"/>
      <c r="F57" s="1897"/>
      <c r="G57" s="1897"/>
      <c r="H57" s="1897"/>
      <c r="I57" s="1897"/>
      <c r="J57" s="1897"/>
      <c r="K57" s="1897"/>
      <c r="L57" s="1308"/>
      <c r="M57" s="1898"/>
      <c r="N57" s="1898"/>
      <c r="O57" s="1563"/>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559">
        <v>27</v>
      </c>
    </row>
    <row r="60" spans="1:45" ht="65.25" customHeight="1">
      <c r="O60" s="1563"/>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559">
        <v>62</v>
      </c>
    </row>
    <row r="61" spans="1:45" ht="14.65" customHeight="1">
      <c r="O61" s="1563"/>
      <c r="AS61" s="1559">
        <v>14</v>
      </c>
    </row>
    <row r="62" spans="1:45" ht="18.75" customHeight="1">
      <c r="O62" s="1563"/>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559">
        <v>18</v>
      </c>
    </row>
    <row r="63" spans="1:45" ht="18.75" customHeight="1">
      <c r="O63" s="1563"/>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559">
        <v>18</v>
      </c>
    </row>
    <row r="64" spans="1:45" ht="29.25" customHeight="1">
      <c r="O64" s="1563"/>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1" style="1563" customWidth="1"/>
    <col min="21" max="21" width="0.7109375" style="1563" hidden="1" customWidth="1"/>
    <col min="22" max="22" width="1.7109375" style="1563" hidden="1" customWidth="1"/>
    <col min="23" max="23" width="24.7109375" style="1563" hidden="1" customWidth="1"/>
    <col min="24" max="25" width="0.14062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0.140625" style="1563" customWidth="1"/>
    <col min="31" max="31" width="24" style="1563" customWidth="1"/>
    <col min="32" max="33" width="0.140625"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64"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64"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95"/>
      <c r="F6" s="2195"/>
      <c r="G6" s="2195"/>
      <c r="H6" s="2195"/>
      <c r="I6" s="2196" t="e">
        <f>S5&amp;".1"</f>
        <v>#N/A</v>
      </c>
      <c r="J6" s="1291"/>
      <c r="K6" s="1291"/>
      <c r="L6" s="1292" t="s">
        <v>401</v>
      </c>
      <c r="M6" s="475"/>
      <c r="P6" s="2198">
        <v>1</v>
      </c>
      <c r="Q6" s="1259"/>
      <c r="R6" s="294"/>
      <c r="S6" s="1264"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64"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64" t="e">
        <f>$K8</f>
        <v>#N/A</v>
      </c>
      <c r="T8" s="1275"/>
      <c r="U8" s="238"/>
      <c r="V8" s="263"/>
      <c r="W8" s="689"/>
      <c r="X8" s="263"/>
      <c r="Y8" s="322"/>
      <c r="Z8" s="2199"/>
      <c r="AA8" s="2076" t="s">
        <v>65</v>
      </c>
      <c r="AB8" s="2199"/>
      <c r="AC8" s="2076" t="s">
        <v>65</v>
      </c>
      <c r="AD8" s="263"/>
      <c r="AE8" s="689"/>
      <c r="AF8" s="263"/>
      <c r="AG8" s="322"/>
      <c r="AH8" s="2199"/>
      <c r="AI8" s="2076" t="s">
        <v>65</v>
      </c>
      <c r="AJ8" s="2199"/>
      <c r="AK8" s="2076" t="s">
        <v>65</v>
      </c>
      <c r="AL8" s="263"/>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5"/>
      <c r="F11" s="2195"/>
      <c r="G11" s="2195"/>
      <c r="H11" s="2195"/>
      <c r="I11" s="2196"/>
      <c r="J11" s="1291"/>
      <c r="K11" s="1291"/>
      <c r="L11" s="1292"/>
      <c r="M11" s="475"/>
      <c r="P11" s="2198"/>
      <c r="Q11" s="1259"/>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083">
        <v>28</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24"/>
      <c r="Y39" s="2224"/>
      <c r="Z39" s="2209"/>
      <c r="AA39" s="2209"/>
      <c r="AB39" s="2210"/>
      <c r="AC39" s="2211" t="s">
        <v>428</v>
      </c>
      <c r="AD39" s="2208" t="s">
        <v>427</v>
      </c>
      <c r="AE39" s="2209"/>
      <c r="AF39" s="2224"/>
      <c r="AG39" s="2224"/>
      <c r="AH39" s="2209"/>
      <c r="AI39" s="2209"/>
      <c r="AJ39" s="2210"/>
      <c r="AK39" s="2211" t="s">
        <v>429</v>
      </c>
      <c r="AL39" s="2214" t="s">
        <v>430</v>
      </c>
      <c r="AM39" s="2066"/>
      <c r="AS39" s="1083">
        <v>14</v>
      </c>
    </row>
    <row r="40" spans="1:45" ht="24" customHeight="1">
      <c r="Q40" s="314"/>
      <c r="R40" s="314"/>
      <c r="S40" s="2207"/>
      <c r="T40" s="2155"/>
      <c r="U40" s="962"/>
      <c r="V40" s="2222" t="s">
        <v>431</v>
      </c>
      <c r="W40" s="2126" t="s">
        <v>432</v>
      </c>
      <c r="X40" s="1304" t="s">
        <v>433</v>
      </c>
      <c r="Y40" s="1304"/>
      <c r="Z40" s="2053" t="s">
        <v>434</v>
      </c>
      <c r="AA40" s="2053"/>
      <c r="AB40" s="2047"/>
      <c r="AC40" s="2212"/>
      <c r="AD40" s="2222" t="s">
        <v>431</v>
      </c>
      <c r="AE40" s="2126" t="s">
        <v>432</v>
      </c>
      <c r="AF40" s="1304" t="s">
        <v>433</v>
      </c>
      <c r="AG40" s="1304"/>
      <c r="AH40" s="2053" t="s">
        <v>434</v>
      </c>
      <c r="AI40" s="2053"/>
      <c r="AJ40" s="2047"/>
      <c r="AK40" s="2212"/>
      <c r="AL40" s="2215"/>
      <c r="AM40" s="2066"/>
      <c r="AS40" s="1083">
        <v>23</v>
      </c>
    </row>
    <row r="41" spans="1:45" s="1194" customFormat="1" ht="24"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M41" s="1290"/>
      <c r="N41" s="1290"/>
      <c r="O41" s="1290"/>
      <c r="P41" s="1256"/>
      <c r="Q41" s="314"/>
      <c r="R41" s="314"/>
      <c r="S41" s="2207"/>
      <c r="T41" s="2155"/>
      <c r="U41" s="240"/>
      <c r="V41" s="2223"/>
      <c r="W41" s="2131"/>
      <c r="X41" s="1301" t="s">
        <v>442</v>
      </c>
      <c r="Y41" s="1301" t="s">
        <v>443</v>
      </c>
      <c r="Z41" s="1262" t="s">
        <v>444</v>
      </c>
      <c r="AA41" s="2160" t="s">
        <v>445</v>
      </c>
      <c r="AB41" s="2174"/>
      <c r="AC41" s="2213"/>
      <c r="AD41" s="2223"/>
      <c r="AE41" s="2131"/>
      <c r="AF41" s="1301" t="s">
        <v>442</v>
      </c>
      <c r="AG41" s="1301" t="s">
        <v>443</v>
      </c>
      <c r="AH41" s="1262" t="s">
        <v>444</v>
      </c>
      <c r="AI41" s="2160" t="s">
        <v>445</v>
      </c>
      <c r="AJ41" s="2174"/>
      <c r="AK41" s="2213"/>
      <c r="AL41" s="2216"/>
      <c r="AM41" s="2066"/>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9">
        <f ca="1">OFFSET(X42,0,-1)+1</f>
        <v>1</v>
      </c>
      <c r="Y42" s="1269">
        <f ca="1">OFFSET(Y42,0,-1)+1</f>
        <v>2</v>
      </c>
      <c r="Z42" s="1263">
        <f ca="1">OFFSET(Z42,0,-1)+1</f>
        <v>3</v>
      </c>
      <c r="AA42" s="2205">
        <f ca="1">OFFSET(AA42,0,-1)+1</f>
        <v>4</v>
      </c>
      <c r="AB42" s="2205"/>
      <c r="AC42" s="1263">
        <f ca="1">OFFSET(AC42,0,-2)+1</f>
        <v>5</v>
      </c>
      <c r="AD42" s="1263">
        <f ca="1">OFFSET(AD42,0,-1)+1</f>
        <v>6</v>
      </c>
      <c r="AE42" s="1263"/>
      <c r="AF42" s="1269">
        <f ca="1">OFFSET(AF42,0,-1)+1</f>
        <v>1</v>
      </c>
      <c r="AG42" s="1269">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192</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192</v>
      </c>
      <c r="B44" s="1291" t="s">
        <v>193</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192</v>
      </c>
      <c r="B45" s="1291" t="s">
        <v>193</v>
      </c>
      <c r="C45" s="1291" t="s">
        <v>194</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192</v>
      </c>
      <c r="B46" s="1291" t="s">
        <v>193</v>
      </c>
      <c r="C46" s="1291" t="s">
        <v>194</v>
      </c>
      <c r="D46" s="1291" t="s">
        <v>195</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ht="49.5" customHeight="1">
      <c r="A47" s="1291" t="s">
        <v>192</v>
      </c>
      <c r="B47" s="1291" t="s">
        <v>193</v>
      </c>
      <c r="C47" s="1291" t="s">
        <v>194</v>
      </c>
      <c r="D47" s="1291" t="s">
        <v>195</v>
      </c>
      <c r="E47" s="2195"/>
      <c r="F47" s="2195"/>
      <c r="G47" s="2195"/>
      <c r="H47" s="2195"/>
      <c r="I47" s="2196" t="str">
        <f>S46&amp;".1"</f>
        <v>....1</v>
      </c>
      <c r="J47" s="1291"/>
      <c r="K47" s="1291"/>
      <c r="L47" s="1292" t="s">
        <v>401</v>
      </c>
      <c r="P47" s="2198">
        <v>1</v>
      </c>
      <c r="Q47" s="1259"/>
      <c r="R47" s="294"/>
      <c r="S47" s="1264"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192</v>
      </c>
      <c r="B48" s="1291" t="s">
        <v>193</v>
      </c>
      <c r="C48" s="1291" t="s">
        <v>194</v>
      </c>
      <c r="D48" s="1291" t="s">
        <v>195</v>
      </c>
      <c r="E48" s="2195"/>
      <c r="F48" s="2195"/>
      <c r="G48" s="2195"/>
      <c r="H48" s="2195"/>
      <c r="I48" s="2197"/>
      <c r="J48" s="2196" t="str">
        <f>I47&amp;".1"</f>
        <v>....1.1</v>
      </c>
      <c r="K48" s="1291"/>
      <c r="L48" s="1292" t="s">
        <v>404</v>
      </c>
      <c r="P48" s="2198"/>
      <c r="Q48" s="2198">
        <v>1</v>
      </c>
      <c r="R48" s="295"/>
      <c r="S48" s="1264"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192</v>
      </c>
      <c r="B49" s="1291" t="s">
        <v>193</v>
      </c>
      <c r="C49" s="1291" t="s">
        <v>194</v>
      </c>
      <c r="D49" s="1291" t="s">
        <v>195</v>
      </c>
      <c r="E49" s="2195"/>
      <c r="F49" s="2195"/>
      <c r="G49" s="2195"/>
      <c r="H49" s="2195"/>
      <c r="I49" s="2197"/>
      <c r="J49" s="2197"/>
      <c r="K49" s="2196" t="str">
        <f>J48&amp;".1"</f>
        <v>....1.1.1</v>
      </c>
      <c r="L49" s="1292" t="s">
        <v>407</v>
      </c>
      <c r="P49" s="2198"/>
      <c r="Q49" s="2198"/>
      <c r="R49" s="295">
        <v>1</v>
      </c>
      <c r="S49" s="1264" t="str">
        <f>$K49</f>
        <v>....1.1.1</v>
      </c>
      <c r="T49" s="1275"/>
      <c r="U49" s="238"/>
      <c r="V49" s="263"/>
      <c r="W49" s="689"/>
      <c r="X49" s="263"/>
      <c r="Y49" s="322"/>
      <c r="Z49" s="2199"/>
      <c r="AA49" s="2076" t="s">
        <v>65</v>
      </c>
      <c r="AB49" s="2199"/>
      <c r="AC49" s="2076" t="s">
        <v>65</v>
      </c>
      <c r="AD49" s="263"/>
      <c r="AE49" s="689"/>
      <c r="AF49" s="263"/>
      <c r="AG49" s="322"/>
      <c r="AH49" s="2199"/>
      <c r="AI49" s="2076" t="s">
        <v>65</v>
      </c>
      <c r="AJ49" s="2201"/>
      <c r="AK49" s="2076" t="s">
        <v>65</v>
      </c>
      <c r="AL49" s="1276"/>
      <c r="AM49" s="2217" t="s">
        <v>408</v>
      </c>
      <c r="AN49" s="449" t="e">
        <f ca="1">STRCHECKDATE(V50:AL50)</f>
        <v>#NAME?</v>
      </c>
      <c r="AO49" s="438"/>
      <c r="AP49" s="438" t="str">
        <f t="shared" si="1"/>
        <v/>
      </c>
      <c r="AQ49" s="438"/>
      <c r="AR49" s="438"/>
      <c r="AS49" s="1083">
        <v>21</v>
      </c>
    </row>
    <row r="50" spans="1:45" ht="1.1499999999999999" customHeight="1">
      <c r="A50" s="1291" t="s">
        <v>192</v>
      </c>
      <c r="B50" s="1291" t="s">
        <v>193</v>
      </c>
      <c r="C50" s="1291" t="s">
        <v>194</v>
      </c>
      <c r="D50" s="1291" t="s">
        <v>195</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192</v>
      </c>
      <c r="B51" s="1291" t="s">
        <v>193</v>
      </c>
      <c r="C51" s="1291" t="s">
        <v>194</v>
      </c>
      <c r="D51" s="1291" t="s">
        <v>195</v>
      </c>
      <c r="E51" s="2195"/>
      <c r="F51" s="2195"/>
      <c r="G51" s="2195"/>
      <c r="H51" s="2195"/>
      <c r="I51" s="2197"/>
      <c r="J51" s="2196"/>
      <c r="K51" s="1291"/>
      <c r="L51" s="1292"/>
      <c r="P51" s="2198"/>
      <c r="Q51" s="2198"/>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192</v>
      </c>
      <c r="B52" s="1291" t="s">
        <v>193</v>
      </c>
      <c r="C52" s="1291" t="s">
        <v>194</v>
      </c>
      <c r="D52" s="1291" t="s">
        <v>195</v>
      </c>
      <c r="E52" s="2195"/>
      <c r="F52" s="2195"/>
      <c r="G52" s="2195"/>
      <c r="H52" s="2195"/>
      <c r="I52" s="2196"/>
      <c r="J52" s="1291"/>
      <c r="K52" s="1291"/>
      <c r="L52" s="1292"/>
      <c r="P52" s="2198"/>
      <c r="Q52" s="1259"/>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192</v>
      </c>
      <c r="B53" s="1291" t="s">
        <v>193</v>
      </c>
      <c r="C53" s="1291" t="s">
        <v>194</v>
      </c>
      <c r="D53" s="1291" t="s">
        <v>195</v>
      </c>
      <c r="E53" s="2195"/>
      <c r="F53" s="2195"/>
      <c r="G53" s="2195"/>
      <c r="H53" s="2194"/>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192</v>
      </c>
      <c r="B54" s="1271" t="s">
        <v>193</v>
      </c>
      <c r="C54" s="1271" t="s">
        <v>194</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192</v>
      </c>
      <c r="B55" s="1271" t="s">
        <v>193</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192</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27</v>
      </c>
    </row>
    <row r="60" spans="1:45" ht="78.75"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75</v>
      </c>
    </row>
    <row r="61" spans="1:45" ht="14.65" customHeight="1">
      <c r="O61" s="475"/>
      <c r="AS61" s="1083">
        <v>14</v>
      </c>
    </row>
    <row r="62" spans="1:45" ht="18.75" customHeight="1">
      <c r="O62" s="475"/>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083">
        <v>18</v>
      </c>
    </row>
    <row r="63" spans="1:45" ht="18.75" customHeight="1">
      <c r="O63" s="475"/>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083">
        <v>18</v>
      </c>
    </row>
    <row r="64" spans="1:45" ht="39.75" customHeight="1">
      <c r="O64" s="475"/>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38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8.42578125" style="1563" hidden="1" customWidth="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64"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64"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14.25" hidden="1" customHeight="1">
      <c r="A6" s="1291"/>
      <c r="B6" s="1291"/>
      <c r="C6" s="1291"/>
      <c r="D6" s="1291"/>
      <c r="E6" s="2195"/>
      <c r="F6" s="2195"/>
      <c r="G6" s="2195"/>
      <c r="H6" s="2195"/>
      <c r="I6" s="2196" t="e">
        <f>S5&amp;".1"</f>
        <v>#N/A</v>
      </c>
      <c r="J6" s="1291"/>
      <c r="K6" s="1291"/>
      <c r="L6" s="1292" t="s">
        <v>401</v>
      </c>
      <c r="M6" s="475"/>
      <c r="P6" s="2198">
        <v>1</v>
      </c>
      <c r="Q6" s="1259"/>
      <c r="R6" s="294"/>
      <c r="S6" s="973"/>
      <c r="T6" s="1311"/>
      <c r="U6" s="1312"/>
      <c r="V6" s="2225"/>
      <c r="W6" s="2226"/>
      <c r="X6" s="2226"/>
      <c r="Y6" s="2226"/>
      <c r="Z6" s="2226"/>
      <c r="AA6" s="2226"/>
      <c r="AB6" s="2226"/>
      <c r="AC6" s="2227"/>
      <c r="AD6" s="2225"/>
      <c r="AE6" s="2226"/>
      <c r="AF6" s="2226"/>
      <c r="AG6" s="2226"/>
      <c r="AH6" s="2226"/>
      <c r="AI6" s="2226"/>
      <c r="AJ6" s="2226"/>
      <c r="AK6" s="2226"/>
      <c r="AL6" s="2227"/>
      <c r="AM6" s="1313"/>
      <c r="AO6" s="438"/>
      <c r="AP6" s="438" t="str">
        <f t="shared" si="0"/>
        <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64"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64"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5"/>
      <c r="F11" s="2195"/>
      <c r="G11" s="2195"/>
      <c r="H11" s="2195"/>
      <c r="I11" s="2196"/>
      <c r="J11" s="1291"/>
      <c r="K11" s="1291"/>
      <c r="L11" s="1292"/>
      <c r="M11" s="475"/>
      <c r="P11" s="2198"/>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17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5"/>
      <c r="U26" s="2175"/>
      <c r="V26" s="2175"/>
      <c r="W26" s="2175"/>
      <c r="X26" s="2175"/>
      <c r="Y26" s="2175"/>
      <c r="Z26" s="2175"/>
      <c r="AA26" s="2175"/>
      <c r="AB26" s="2175"/>
      <c r="AC26" s="2175"/>
      <c r="AD26" s="2175"/>
      <c r="AE26" s="2175"/>
      <c r="AF26" s="2175"/>
      <c r="AG26" s="2175"/>
      <c r="AH26" s="2175"/>
      <c r="AI26" s="2175"/>
      <c r="AJ26" s="2175"/>
      <c r="AK26" s="1171"/>
      <c r="AS26" s="1083">
        <v>60</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c r="X40" s="2048" t="s">
        <v>433</v>
      </c>
      <c r="Y40" s="2047"/>
      <c r="Z40" s="2048" t="s">
        <v>434</v>
      </c>
      <c r="AA40" s="2053"/>
      <c r="AB40" s="2047"/>
      <c r="AC40" s="2212"/>
      <c r="AD40" s="2125" t="s">
        <v>448</v>
      </c>
      <c r="AE40" s="2203"/>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266" t="s">
        <v>444</v>
      </c>
      <c r="AA41" s="2160" t="s">
        <v>445</v>
      </c>
      <c r="AB41" s="2174"/>
      <c r="AC41" s="2213"/>
      <c r="AD41" s="2180"/>
      <c r="AE41" s="2204"/>
      <c r="AF41" s="1150" t="s">
        <v>442</v>
      </c>
      <c r="AG41" s="1150" t="s">
        <v>443</v>
      </c>
      <c r="AH41" s="1266"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5">
        <f ca="1">OFFSET(AA42,0,-1)+1</f>
        <v>4</v>
      </c>
      <c r="AB42" s="2205"/>
      <c r="AC42" s="1263">
        <f ca="1">OFFSET(AC42,0,-2)+1</f>
        <v>5</v>
      </c>
      <c r="AD42" s="1263">
        <f ca="1">OFFSET(AD42,0,-1)+1</f>
        <v>6</v>
      </c>
      <c r="AE42" s="1263"/>
      <c r="AF42" s="1263">
        <f ca="1">OFFSET(AF42,0,-1)+1</f>
        <v>1</v>
      </c>
      <c r="AG42" s="1263">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168</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168</v>
      </c>
      <c r="B44" s="1291" t="s">
        <v>169</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168</v>
      </c>
      <c r="B45" s="1291" t="s">
        <v>169</v>
      </c>
      <c r="C45" s="1291" t="s">
        <v>170</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168</v>
      </c>
      <c r="B46" s="1291" t="s">
        <v>169</v>
      </c>
      <c r="C46" s="1291" t="s">
        <v>170</v>
      </c>
      <c r="D46" s="1291" t="s">
        <v>171</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s="1570" customFormat="1" ht="0" hidden="1" customHeight="1">
      <c r="A47" s="1271" t="s">
        <v>168</v>
      </c>
      <c r="B47" s="1271" t="s">
        <v>169</v>
      </c>
      <c r="C47" s="1271" t="s">
        <v>170</v>
      </c>
      <c r="D47" s="1271" t="s">
        <v>171</v>
      </c>
      <c r="E47" s="2195"/>
      <c r="F47" s="2195"/>
      <c r="G47" s="2195"/>
      <c r="H47" s="2195"/>
      <c r="I47" s="2196" t="str">
        <f>S46&amp;".1"</f>
        <v>....1</v>
      </c>
      <c r="J47" s="1271"/>
      <c r="K47" s="1271"/>
      <c r="L47" s="1274" t="s">
        <v>401</v>
      </c>
      <c r="M47" s="448"/>
      <c r="N47" s="448"/>
      <c r="O47" s="448"/>
      <c r="P47" s="2198">
        <v>1</v>
      </c>
      <c r="Q47" s="1259"/>
      <c r="R47" s="294"/>
      <c r="S47" s="973"/>
      <c r="T47" s="1311"/>
      <c r="U47" s="1312"/>
      <c r="V47" s="2225"/>
      <c r="W47" s="2226"/>
      <c r="X47" s="2226"/>
      <c r="Y47" s="2226"/>
      <c r="Z47" s="2226"/>
      <c r="AA47" s="2226"/>
      <c r="AB47" s="2226"/>
      <c r="AC47" s="2227"/>
      <c r="AD47" s="2225"/>
      <c r="AE47" s="2226"/>
      <c r="AF47" s="2226"/>
      <c r="AG47" s="2226"/>
      <c r="AH47" s="2226"/>
      <c r="AI47" s="2226"/>
      <c r="AJ47" s="2226"/>
      <c r="AK47" s="2226"/>
      <c r="AL47" s="2227"/>
      <c r="AM47" s="1313"/>
      <c r="AO47" s="438"/>
      <c r="AP47" s="438" t="str">
        <f t="shared" si="1"/>
        <v/>
      </c>
      <c r="AQ47" s="438"/>
      <c r="AR47" s="438"/>
      <c r="AS47" s="449">
        <v>0</v>
      </c>
    </row>
    <row r="48" spans="1:45" ht="21.95" customHeight="1">
      <c r="A48" s="1291" t="s">
        <v>168</v>
      </c>
      <c r="B48" s="1291" t="s">
        <v>169</v>
      </c>
      <c r="C48" s="1291" t="s">
        <v>170</v>
      </c>
      <c r="D48" s="1291" t="s">
        <v>171</v>
      </c>
      <c r="E48" s="2195"/>
      <c r="F48" s="2195"/>
      <c r="G48" s="2195"/>
      <c r="H48" s="2195"/>
      <c r="I48" s="2197"/>
      <c r="J48" s="2196" t="str">
        <f>S46&amp;".1"</f>
        <v>....1</v>
      </c>
      <c r="K48" s="1291"/>
      <c r="L48" s="1292" t="s">
        <v>404</v>
      </c>
      <c r="P48" s="2198"/>
      <c r="Q48" s="2198">
        <v>1</v>
      </c>
      <c r="R48" s="295"/>
      <c r="S48" s="1264" t="str">
        <f>$J48</f>
        <v>....1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168</v>
      </c>
      <c r="B49" s="1291" t="s">
        <v>169</v>
      </c>
      <c r="C49" s="1291" t="s">
        <v>170</v>
      </c>
      <c r="D49" s="1291" t="s">
        <v>171</v>
      </c>
      <c r="E49" s="2195"/>
      <c r="F49" s="2195"/>
      <c r="G49" s="2195"/>
      <c r="H49" s="2195"/>
      <c r="I49" s="2197"/>
      <c r="J49" s="2197"/>
      <c r="K49" s="2196" t="str">
        <f>J48&amp;".1"</f>
        <v>....1.1</v>
      </c>
      <c r="L49" s="1292" t="s">
        <v>407</v>
      </c>
      <c r="P49" s="2198"/>
      <c r="Q49" s="2198"/>
      <c r="R49" s="295">
        <v>1</v>
      </c>
      <c r="S49" s="1264" t="str">
        <f>$K49</f>
        <v>....1.1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449</v>
      </c>
      <c r="AN49" s="449" t="e">
        <f ca="1">STRCHECKDATE(V50:AL50)</f>
        <v>#NAME?</v>
      </c>
      <c r="AO49" s="438"/>
      <c r="AP49" s="438" t="str">
        <f t="shared" si="1"/>
        <v/>
      </c>
      <c r="AQ49" s="438"/>
      <c r="AR49" s="438"/>
      <c r="AS49" s="1083">
        <v>21</v>
      </c>
    </row>
    <row r="50" spans="1:45" ht="1.1499999999999999" customHeight="1">
      <c r="A50" s="1291" t="s">
        <v>168</v>
      </c>
      <c r="B50" s="1291" t="s">
        <v>169</v>
      </c>
      <c r="C50" s="1291" t="s">
        <v>170</v>
      </c>
      <c r="D50" s="1291" t="s">
        <v>171</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168</v>
      </c>
      <c r="B51" s="1291" t="s">
        <v>169</v>
      </c>
      <c r="C51" s="1291" t="s">
        <v>170</v>
      </c>
      <c r="D51" s="1291" t="s">
        <v>171</v>
      </c>
      <c r="E51" s="2195"/>
      <c r="F51" s="2195"/>
      <c r="G51" s="2195"/>
      <c r="H51" s="2195"/>
      <c r="I51" s="2197"/>
      <c r="J51" s="2196"/>
      <c r="K51" s="1291"/>
      <c r="L51" s="1292"/>
      <c r="P51" s="2198"/>
      <c r="Q51" s="2198"/>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168</v>
      </c>
      <c r="B52" s="1291" t="s">
        <v>169</v>
      </c>
      <c r="C52" s="1291" t="s">
        <v>170</v>
      </c>
      <c r="D52" s="1291" t="s">
        <v>171</v>
      </c>
      <c r="E52" s="2195"/>
      <c r="F52" s="2195"/>
      <c r="G52" s="2195"/>
      <c r="H52" s="2195"/>
      <c r="I52" s="2196"/>
      <c r="J52" s="1291"/>
      <c r="K52" s="1291"/>
      <c r="L52" s="1292"/>
      <c r="P52" s="2198"/>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168</v>
      </c>
      <c r="B53" s="1291" t="s">
        <v>169</v>
      </c>
      <c r="C53" s="1291" t="s">
        <v>170</v>
      </c>
      <c r="D53" s="1291" t="s">
        <v>171</v>
      </c>
      <c r="E53" s="2195"/>
      <c r="F53" s="2195"/>
      <c r="G53" s="2195"/>
      <c r="H53" s="2194"/>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168</v>
      </c>
      <c r="B54" s="1271" t="s">
        <v>169</v>
      </c>
      <c r="C54" s="1271" t="s">
        <v>170</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168</v>
      </c>
      <c r="B55" s="1271" t="s">
        <v>169</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168</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19.899999999999999"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19</v>
      </c>
    </row>
    <row r="60" spans="1:45" ht="29.25"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28</v>
      </c>
    </row>
    <row r="61" spans="1:45" ht="42" customHeight="1">
      <c r="O61" s="475"/>
      <c r="T61" s="2193"/>
      <c r="U61" s="2193"/>
      <c r="V61" s="2193"/>
      <c r="W61" s="2193"/>
      <c r="X61" s="2193"/>
      <c r="Y61" s="2193"/>
      <c r="Z61" s="2193"/>
      <c r="AA61" s="2193"/>
      <c r="AB61" s="2193"/>
      <c r="AC61" s="2193"/>
      <c r="AD61" s="2193"/>
      <c r="AE61" s="2193"/>
      <c r="AF61" s="2193"/>
      <c r="AG61" s="2193"/>
      <c r="AH61" s="2193"/>
      <c r="AI61" s="2193"/>
      <c r="AJ61" s="2193"/>
      <c r="AK61" s="2193"/>
      <c r="AL61" s="2193"/>
      <c r="AM61" s="2193"/>
      <c r="AS61" s="1083">
        <v>40</v>
      </c>
    </row>
    <row r="62" spans="1:45" ht="14.65" customHeight="1">
      <c r="O62" s="475"/>
      <c r="AS62" s="1083">
        <v>14</v>
      </c>
    </row>
    <row r="63" spans="1:45" ht="21" customHeight="1">
      <c r="O63" s="475"/>
      <c r="S63" s="1181"/>
      <c r="T63" s="2106"/>
      <c r="U63" s="2193"/>
      <c r="V63" s="2193"/>
      <c r="W63" s="2193"/>
      <c r="X63" s="2193"/>
      <c r="Y63" s="2193"/>
      <c r="Z63" s="2193"/>
      <c r="AA63" s="2193"/>
      <c r="AB63" s="2193"/>
      <c r="AC63" s="2193"/>
      <c r="AD63" s="2193"/>
      <c r="AE63" s="2193"/>
      <c r="AF63" s="2193"/>
      <c r="AG63" s="2193"/>
      <c r="AH63" s="2193"/>
      <c r="AI63" s="2193"/>
      <c r="AJ63" s="2193"/>
      <c r="AK63" s="2193"/>
      <c r="AL63" s="2193"/>
      <c r="AM63" s="2193"/>
      <c r="AS63" s="1083">
        <v>20</v>
      </c>
    </row>
    <row r="64" spans="1:45" ht="29.25" customHeight="1">
      <c r="O64" s="475"/>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28</v>
      </c>
    </row>
    <row r="65" spans="1:45" ht="35.65" customHeight="1">
      <c r="T65" s="2193"/>
      <c r="U65" s="2193"/>
      <c r="V65" s="2193"/>
      <c r="W65" s="2193"/>
      <c r="X65" s="2193"/>
      <c r="Y65" s="2193"/>
      <c r="Z65" s="2193"/>
      <c r="AA65" s="2193"/>
      <c r="AB65" s="2193"/>
      <c r="AC65" s="2193"/>
      <c r="AD65" s="2193"/>
      <c r="AE65" s="2193"/>
      <c r="AF65" s="2193"/>
      <c r="AG65" s="2193"/>
      <c r="AH65" s="2193"/>
      <c r="AI65" s="2193"/>
      <c r="AJ65" s="2193"/>
      <c r="AK65" s="2193"/>
      <c r="AL65" s="2193"/>
      <c r="AM65" s="2193"/>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1" s="1797"/>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931" t="e">
        <f>INDEX(PT_DIFFERENTIATION_NUM_CS,MATCH(C4,PT_DIFFERENTIATION_CS_ID,0))</f>
        <v>#N/A</v>
      </c>
      <c r="T4" s="1935" t="s">
        <v>397</v>
      </c>
      <c r="U4" s="1936"/>
      <c r="V4" s="2230"/>
      <c r="W4" s="2231"/>
      <c r="X4" s="2231"/>
      <c r="Y4" s="2231"/>
      <c r="Z4" s="2231"/>
      <c r="AA4" s="2231"/>
      <c r="AB4" s="2231"/>
      <c r="AC4" s="2232"/>
      <c r="AD4" s="2230" t="e">
        <f>INDEX(PT_DIFFERENTIATION_CS,MATCH(C4,PT_DIFFERENTIATION_CS_ID,0))</f>
        <v>#N/A</v>
      </c>
      <c r="AE4" s="2231"/>
      <c r="AF4" s="2231"/>
      <c r="AG4" s="2231"/>
      <c r="AH4" s="2231"/>
      <c r="AI4" s="2231"/>
      <c r="AJ4" s="2231"/>
      <c r="AK4" s="2231"/>
      <c r="AL4" s="2232"/>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1563"/>
      <c r="S5" s="1930" t="e">
        <f>INDEX(PT_DIFFERENTIATION_NUM_IST_TE,MATCH(D5,PT_DIFFERENTIATION_IST_TE_ID,0))</f>
        <v>#N/A</v>
      </c>
      <c r="T5" s="248" t="s">
        <v>399</v>
      </c>
      <c r="U5" s="238"/>
      <c r="V5" s="2233"/>
      <c r="W5" s="2233"/>
      <c r="X5" s="2233"/>
      <c r="Y5" s="2233"/>
      <c r="Z5" s="2233"/>
      <c r="AA5" s="2233"/>
      <c r="AB5" s="2233"/>
      <c r="AC5" s="2233"/>
      <c r="AD5" s="2233" t="e">
        <f>INDEX(PT_DIFFERENTIATION_IST_TE,MATCH(D5,PT_DIFFERENTIATION_IST_TE_ID,0))</f>
        <v>#N/A</v>
      </c>
      <c r="AE5" s="2233"/>
      <c r="AF5" s="2233"/>
      <c r="AG5" s="2233"/>
      <c r="AH5" s="2233"/>
      <c r="AI5" s="2233"/>
      <c r="AJ5" s="2233"/>
      <c r="AK5" s="2233"/>
      <c r="AL5" s="2233"/>
      <c r="AM5" s="1933" t="s">
        <v>400</v>
      </c>
      <c r="AO5" s="438"/>
      <c r="AP5" s="438" t="str">
        <f t="shared" si="0"/>
        <v xml:space="preserve">Источник тепловой энергии  </v>
      </c>
      <c r="AQ5" s="438"/>
      <c r="AR5" s="438"/>
      <c r="AS5" s="1083">
        <v>0</v>
      </c>
    </row>
    <row r="6" spans="1:45" ht="0.75" hidden="1" customHeight="1">
      <c r="A6" s="1291"/>
      <c r="B6" s="1291"/>
      <c r="C6" s="1291"/>
      <c r="D6" s="1291"/>
      <c r="E6" s="2195"/>
      <c r="F6" s="2195"/>
      <c r="G6" s="2195"/>
      <c r="H6" s="2195"/>
      <c r="I6" s="2196" t="e">
        <f>S5&amp;".1"</f>
        <v>#N/A</v>
      </c>
      <c r="J6" s="1291"/>
      <c r="K6" s="1291"/>
      <c r="L6" s="1292" t="s">
        <v>401</v>
      </c>
      <c r="M6" s="475"/>
      <c r="P6" s="2198">
        <v>1</v>
      </c>
      <c r="Q6" s="1259"/>
      <c r="R6" s="1929"/>
      <c r="S6" s="973"/>
      <c r="T6" s="1311"/>
      <c r="U6" s="1312"/>
      <c r="V6" s="2234"/>
      <c r="W6" s="2234"/>
      <c r="X6" s="2234"/>
      <c r="Y6" s="2234"/>
      <c r="Z6" s="2234"/>
      <c r="AA6" s="2234"/>
      <c r="AB6" s="2234"/>
      <c r="AC6" s="2234"/>
      <c r="AD6" s="2234"/>
      <c r="AE6" s="2234"/>
      <c r="AF6" s="2234"/>
      <c r="AG6" s="2234"/>
      <c r="AH6" s="2234"/>
      <c r="AI6" s="2234"/>
      <c r="AJ6" s="2234"/>
      <c r="AK6" s="2234"/>
      <c r="AL6" s="2234"/>
      <c r="AM6" s="1934"/>
      <c r="AO6" s="438"/>
      <c r="AP6" s="438" t="str">
        <f t="shared" si="0"/>
        <v/>
      </c>
      <c r="AQ6" s="438"/>
      <c r="AR6" s="438"/>
      <c r="AS6" s="1083">
        <v>0</v>
      </c>
    </row>
    <row r="7" spans="1:45" ht="84" hidden="1" customHeight="1">
      <c r="A7" s="1291"/>
      <c r="B7" s="1291"/>
      <c r="C7" s="1291"/>
      <c r="D7" s="1291"/>
      <c r="E7" s="2195"/>
      <c r="F7" s="2195"/>
      <c r="G7" s="2195"/>
      <c r="H7" s="2195"/>
      <c r="I7" s="2197"/>
      <c r="J7" s="2196" t="e">
        <f>I6&amp;".1"</f>
        <v>#N/A</v>
      </c>
      <c r="K7" s="1291"/>
      <c r="L7" s="1292" t="s">
        <v>404</v>
      </c>
      <c r="M7" s="475"/>
      <c r="N7" s="1294"/>
      <c r="P7" s="2198"/>
      <c r="Q7" s="2198">
        <v>1</v>
      </c>
      <c r="R7" s="1570"/>
      <c r="S7" s="1930" t="e">
        <f>$J7</f>
        <v>#N/A</v>
      </c>
      <c r="T7" s="224" t="s">
        <v>405</v>
      </c>
      <c r="U7" s="238"/>
      <c r="V7" s="2228"/>
      <c r="W7" s="2228"/>
      <c r="X7" s="2228"/>
      <c r="Y7" s="2228"/>
      <c r="Z7" s="2228"/>
      <c r="AA7" s="2228"/>
      <c r="AB7" s="2228"/>
      <c r="AC7" s="2228"/>
      <c r="AD7" s="2228"/>
      <c r="AE7" s="2228"/>
      <c r="AF7" s="2228"/>
      <c r="AG7" s="2228"/>
      <c r="AH7" s="2228"/>
      <c r="AI7" s="2228"/>
      <c r="AJ7" s="2228"/>
      <c r="AK7" s="2228"/>
      <c r="AL7" s="2228"/>
      <c r="AM7" s="1933" t="s">
        <v>406</v>
      </c>
      <c r="AO7" s="438"/>
      <c r="AP7" s="438" t="str">
        <f t="shared" si="0"/>
        <v>Группа потребителей</v>
      </c>
      <c r="AQ7" s="438"/>
      <c r="AR7" s="438"/>
      <c r="AS7" s="1083">
        <v>0</v>
      </c>
    </row>
    <row r="8" spans="1:45" ht="11.25"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932" t="e">
        <f>$K8</f>
        <v>#N/A</v>
      </c>
      <c r="T8" s="1937"/>
      <c r="U8" s="1938"/>
      <c r="V8" s="1939"/>
      <c r="W8" s="1277"/>
      <c r="X8" s="1939"/>
      <c r="Y8" s="1940"/>
      <c r="Z8" s="2229"/>
      <c r="AA8" s="2081" t="s">
        <v>65</v>
      </c>
      <c r="AB8" s="2229"/>
      <c r="AC8" s="2081" t="s">
        <v>65</v>
      </c>
      <c r="AD8" s="1939"/>
      <c r="AE8" s="1277"/>
      <c r="AF8" s="1939"/>
      <c r="AG8" s="1940"/>
      <c r="AH8" s="2229"/>
      <c r="AI8" s="2081" t="s">
        <v>65</v>
      </c>
      <c r="AJ8" s="2229"/>
      <c r="AK8" s="2081" t="s">
        <v>65</v>
      </c>
      <c r="AL8" s="1277"/>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1.25" hidden="1" customHeight="1">
      <c r="A10" s="1291"/>
      <c r="B10" s="1291"/>
      <c r="C10" s="1291"/>
      <c r="D10" s="1291"/>
      <c r="E10" s="2195"/>
      <c r="F10" s="2195"/>
      <c r="G10" s="2195"/>
      <c r="H10" s="2195"/>
      <c r="I10" s="2197"/>
      <c r="J10" s="2196"/>
      <c r="K10" s="1291"/>
      <c r="L10" s="1292"/>
      <c r="M10" s="475"/>
      <c r="N10" s="1294"/>
      <c r="P10" s="2198"/>
      <c r="Q10" s="2198"/>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95"/>
      <c r="F11" s="2195"/>
      <c r="G11" s="2195"/>
      <c r="H11" s="2195"/>
      <c r="I11" s="2196"/>
      <c r="J11" s="1291"/>
      <c r="K11" s="1291"/>
      <c r="L11" s="1292"/>
      <c r="M11" s="475"/>
      <c r="P11" s="2198"/>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195"/>
      <c r="F12" s="2195"/>
      <c r="G12" s="2195"/>
      <c r="H12" s="2194"/>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12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4"/>
      <c r="U26" s="2124"/>
      <c r="V26" s="2124"/>
      <c r="W26" s="2124"/>
      <c r="X26" s="2124"/>
      <c r="Y26" s="2124"/>
      <c r="Z26" s="2124"/>
      <c r="AA26" s="2124"/>
      <c r="AB26" s="2124"/>
      <c r="AC26" s="2124"/>
      <c r="AD26" s="2124"/>
      <c r="AE26" s="2124"/>
      <c r="AF26" s="2124"/>
      <c r="AG26" s="2124"/>
      <c r="AH26" s="2124"/>
      <c r="AI26" s="2124"/>
      <c r="AJ26" s="2124"/>
      <c r="AK26" s="1171"/>
      <c r="AS26" s="1083">
        <v>52</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c r="X40" s="2048" t="s">
        <v>433</v>
      </c>
      <c r="Y40" s="2047"/>
      <c r="Z40" s="2048" t="s">
        <v>434</v>
      </c>
      <c r="AA40" s="2053"/>
      <c r="AB40" s="2047"/>
      <c r="AC40" s="2212"/>
      <c r="AD40" s="2125" t="s">
        <v>448</v>
      </c>
      <c r="AE40" s="2203"/>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266" t="s">
        <v>444</v>
      </c>
      <c r="AA41" s="2160" t="s">
        <v>445</v>
      </c>
      <c r="AB41" s="2174"/>
      <c r="AC41" s="2213"/>
      <c r="AD41" s="2180"/>
      <c r="AE41" s="2204"/>
      <c r="AF41" s="1150" t="s">
        <v>442</v>
      </c>
      <c r="AG41" s="1150" t="s">
        <v>443</v>
      </c>
      <c r="AH41" s="1266"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5">
        <f ca="1">OFFSET(AA42,0,-1)+1</f>
        <v>4</v>
      </c>
      <c r="AB42" s="2205"/>
      <c r="AC42" s="1263">
        <f ca="1">OFFSET(AC42,0,-2)+1</f>
        <v>5</v>
      </c>
      <c r="AD42" s="1263">
        <f ca="1">OFFSET(AD42,0,-1)+1</f>
        <v>6</v>
      </c>
      <c r="AE42" s="1263"/>
      <c r="AF42" s="1263">
        <f ca="1">OFFSET(AF42,0,-1)+1</f>
        <v>1</v>
      </c>
      <c r="AG42" s="1263">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180</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180</v>
      </c>
      <c r="B44" s="1291" t="s">
        <v>181</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180</v>
      </c>
      <c r="B45" s="1291" t="s">
        <v>181</v>
      </c>
      <c r="C45" s="1291" t="s">
        <v>182</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180</v>
      </c>
      <c r="B46" s="1291" t="s">
        <v>181</v>
      </c>
      <c r="C46" s="1291" t="s">
        <v>182</v>
      </c>
      <c r="D46" s="1291" t="s">
        <v>183</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s="1570" customFormat="1" ht="0" hidden="1" customHeight="1">
      <c r="A47" s="1271" t="s">
        <v>180</v>
      </c>
      <c r="B47" s="1271" t="s">
        <v>181</v>
      </c>
      <c r="C47" s="1271" t="s">
        <v>182</v>
      </c>
      <c r="D47" s="1271" t="s">
        <v>183</v>
      </c>
      <c r="E47" s="2195"/>
      <c r="F47" s="2195"/>
      <c r="G47" s="2195"/>
      <c r="H47" s="2195"/>
      <c r="I47" s="2196" t="str">
        <f>S46&amp;".1"</f>
        <v>....1</v>
      </c>
      <c r="J47" s="1271"/>
      <c r="K47" s="1271"/>
      <c r="L47" s="1274" t="s">
        <v>401</v>
      </c>
      <c r="M47" s="448"/>
      <c r="N47" s="448"/>
      <c r="O47" s="448"/>
      <c r="P47" s="2198">
        <v>1</v>
      </c>
      <c r="Q47" s="1259"/>
      <c r="R47" s="294"/>
      <c r="S47" s="973"/>
      <c r="T47" s="1311"/>
      <c r="U47" s="1312"/>
      <c r="V47" s="2225"/>
      <c r="W47" s="2226"/>
      <c r="X47" s="2226"/>
      <c r="Y47" s="2226"/>
      <c r="Z47" s="2226"/>
      <c r="AA47" s="2226"/>
      <c r="AB47" s="2226"/>
      <c r="AC47" s="2227"/>
      <c r="AD47" s="2225"/>
      <c r="AE47" s="2226"/>
      <c r="AF47" s="2226"/>
      <c r="AG47" s="2226"/>
      <c r="AH47" s="2226"/>
      <c r="AI47" s="2226"/>
      <c r="AJ47" s="2226"/>
      <c r="AK47" s="2226"/>
      <c r="AL47" s="2227"/>
      <c r="AM47" s="1313"/>
      <c r="AO47" s="438"/>
      <c r="AP47" s="438" t="str">
        <f t="shared" si="1"/>
        <v/>
      </c>
      <c r="AQ47" s="438"/>
      <c r="AR47" s="438"/>
      <c r="AS47" s="449">
        <v>0</v>
      </c>
    </row>
    <row r="48" spans="1:45" ht="21.95" customHeight="1">
      <c r="A48" s="1291" t="s">
        <v>180</v>
      </c>
      <c r="B48" s="1291" t="s">
        <v>181</v>
      </c>
      <c r="C48" s="1291" t="s">
        <v>182</v>
      </c>
      <c r="D48" s="1291" t="s">
        <v>183</v>
      </c>
      <c r="E48" s="2195"/>
      <c r="F48" s="2195"/>
      <c r="G48" s="2195"/>
      <c r="H48" s="2195"/>
      <c r="I48" s="2197"/>
      <c r="J48" s="2196" t="str">
        <f>S46&amp;".1"</f>
        <v>....1</v>
      </c>
      <c r="K48" s="1291"/>
      <c r="L48" s="1292" t="s">
        <v>404</v>
      </c>
      <c r="P48" s="2198"/>
      <c r="Q48" s="2198">
        <v>1</v>
      </c>
      <c r="R48" s="295"/>
      <c r="S48" s="1264" t="str">
        <f>$J48</f>
        <v>....1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180</v>
      </c>
      <c r="B49" s="1291" t="s">
        <v>181</v>
      </c>
      <c r="C49" s="1291" t="s">
        <v>182</v>
      </c>
      <c r="D49" s="1291" t="s">
        <v>183</v>
      </c>
      <c r="E49" s="2195"/>
      <c r="F49" s="2195"/>
      <c r="G49" s="2195"/>
      <c r="H49" s="2195"/>
      <c r="I49" s="2197"/>
      <c r="J49" s="2197"/>
      <c r="K49" s="2196" t="str">
        <f>J48&amp;".1"</f>
        <v>....1.1</v>
      </c>
      <c r="L49" s="1292" t="s">
        <v>407</v>
      </c>
      <c r="P49" s="2198"/>
      <c r="Q49" s="2198"/>
      <c r="R49" s="295">
        <v>1</v>
      </c>
      <c r="S49" s="1264" t="str">
        <f>$K49</f>
        <v>....1.1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449</v>
      </c>
      <c r="AN49" s="449" t="e">
        <f ca="1">STRCHECKDATE(V50:AL50)</f>
        <v>#NAME?</v>
      </c>
      <c r="AO49" s="438"/>
      <c r="AP49" s="438" t="str">
        <f t="shared" si="1"/>
        <v/>
      </c>
      <c r="AQ49" s="438"/>
      <c r="AR49" s="438"/>
      <c r="AS49" s="1083">
        <v>21</v>
      </c>
    </row>
    <row r="50" spans="1:45" ht="1.1499999999999999" customHeight="1">
      <c r="A50" s="1291" t="s">
        <v>180</v>
      </c>
      <c r="B50" s="1291" t="s">
        <v>181</v>
      </c>
      <c r="C50" s="1291" t="s">
        <v>182</v>
      </c>
      <c r="D50" s="1291" t="s">
        <v>183</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180</v>
      </c>
      <c r="B51" s="1291" t="s">
        <v>181</v>
      </c>
      <c r="C51" s="1291" t="s">
        <v>182</v>
      </c>
      <c r="D51" s="1291" t="s">
        <v>183</v>
      </c>
      <c r="E51" s="2195"/>
      <c r="F51" s="2195"/>
      <c r="G51" s="2195"/>
      <c r="H51" s="2195"/>
      <c r="I51" s="2197"/>
      <c r="J51" s="2196"/>
      <c r="K51" s="1291"/>
      <c r="L51" s="1292"/>
      <c r="P51" s="2198"/>
      <c r="Q51" s="2198"/>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180</v>
      </c>
      <c r="B52" s="1291" t="s">
        <v>181</v>
      </c>
      <c r="C52" s="1291" t="s">
        <v>182</v>
      </c>
      <c r="D52" s="1291" t="s">
        <v>183</v>
      </c>
      <c r="E52" s="2195"/>
      <c r="F52" s="2195"/>
      <c r="G52" s="2195"/>
      <c r="H52" s="2195"/>
      <c r="I52" s="2196"/>
      <c r="J52" s="1291"/>
      <c r="K52" s="1291"/>
      <c r="L52" s="1292"/>
      <c r="P52" s="2198"/>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180</v>
      </c>
      <c r="B53" s="1291" t="s">
        <v>181</v>
      </c>
      <c r="C53" s="1291" t="s">
        <v>182</v>
      </c>
      <c r="D53" s="1291" t="s">
        <v>183</v>
      </c>
      <c r="E53" s="2195"/>
      <c r="F53" s="2195"/>
      <c r="G53" s="2195"/>
      <c r="H53" s="2194"/>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180</v>
      </c>
      <c r="B54" s="1271" t="s">
        <v>181</v>
      </c>
      <c r="C54" s="1271" t="s">
        <v>182</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180</v>
      </c>
      <c r="B55" s="1271" t="s">
        <v>181</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180</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3.2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22</v>
      </c>
    </row>
    <row r="60" spans="1:45" ht="30.4"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29</v>
      </c>
    </row>
    <row r="61" spans="1:45" ht="42" customHeight="1">
      <c r="O61" s="475"/>
      <c r="T61" s="2193"/>
      <c r="U61" s="2193"/>
      <c r="V61" s="2193"/>
      <c r="W61" s="2193"/>
      <c r="X61" s="2193"/>
      <c r="Y61" s="2193"/>
      <c r="Z61" s="2193"/>
      <c r="AA61" s="2193"/>
      <c r="AB61" s="2193"/>
      <c r="AC61" s="2193"/>
      <c r="AD61" s="2193"/>
      <c r="AE61" s="2193"/>
      <c r="AF61" s="2193"/>
      <c r="AG61" s="2193"/>
      <c r="AH61" s="2193"/>
      <c r="AI61" s="2193"/>
      <c r="AJ61" s="2193"/>
      <c r="AK61" s="2193"/>
      <c r="AL61" s="2193"/>
      <c r="AM61" s="2193"/>
      <c r="AS61" s="1083">
        <v>40</v>
      </c>
    </row>
    <row r="62" spans="1:45" ht="14.65" customHeight="1">
      <c r="O62" s="475"/>
      <c r="AS62" s="1083">
        <v>14</v>
      </c>
    </row>
    <row r="63" spans="1:45" ht="21" customHeight="1">
      <c r="O63" s="475"/>
      <c r="S63" s="1181"/>
      <c r="T63" s="2106"/>
      <c r="U63" s="2193"/>
      <c r="V63" s="2193"/>
      <c r="W63" s="2193"/>
      <c r="X63" s="2193"/>
      <c r="Y63" s="2193"/>
      <c r="Z63" s="2193"/>
      <c r="AA63" s="2193"/>
      <c r="AB63" s="2193"/>
      <c r="AC63" s="2193"/>
      <c r="AD63" s="2193"/>
      <c r="AE63" s="2193"/>
      <c r="AF63" s="2193"/>
      <c r="AG63" s="2193"/>
      <c r="AH63" s="2193"/>
      <c r="AI63" s="2193"/>
      <c r="AJ63" s="2193"/>
      <c r="AK63" s="2193"/>
      <c r="AL63" s="2193"/>
      <c r="AM63" s="2193"/>
      <c r="AS63" s="1083">
        <v>20</v>
      </c>
    </row>
    <row r="64" spans="1:45" ht="29.25" customHeight="1">
      <c r="O64" s="475"/>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28</v>
      </c>
    </row>
    <row r="65" spans="1:45" ht="35.65" customHeight="1">
      <c r="T65" s="2193"/>
      <c r="U65" s="2193"/>
      <c r="V65" s="2193"/>
      <c r="W65" s="2193"/>
      <c r="X65" s="2193"/>
      <c r="Y65" s="2193"/>
      <c r="Z65" s="2193"/>
      <c r="AA65" s="2193"/>
      <c r="AB65" s="2193"/>
      <c r="AC65" s="2193"/>
      <c r="AD65" s="2193"/>
      <c r="AE65" s="2193"/>
      <c r="AF65" s="2193"/>
      <c r="AG65" s="2193"/>
      <c r="AH65" s="2193"/>
      <c r="AI65" s="2193"/>
      <c r="AJ65" s="2193"/>
      <c r="AK65" s="2193"/>
      <c r="AL65" s="2193"/>
      <c r="AM65" s="2193"/>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64"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64"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14.25" hidden="1" customHeight="1">
      <c r="A6" s="1291"/>
      <c r="B6" s="1291"/>
      <c r="C6" s="1291"/>
      <c r="D6" s="1291"/>
      <c r="E6" s="2195"/>
      <c r="F6" s="2195"/>
      <c r="G6" s="2195"/>
      <c r="H6" s="2195"/>
      <c r="I6" s="2196" t="e">
        <f>S5&amp;".1"</f>
        <v>#N/A</v>
      </c>
      <c r="J6" s="1291"/>
      <c r="K6" s="1291"/>
      <c r="L6" s="1292" t="s">
        <v>401</v>
      </c>
      <c r="M6" s="475"/>
      <c r="P6" s="2198">
        <v>1</v>
      </c>
      <c r="Q6" s="1259"/>
      <c r="R6" s="294"/>
      <c r="S6" s="973"/>
      <c r="T6" s="1311"/>
      <c r="U6" s="1312"/>
      <c r="V6" s="2225"/>
      <c r="W6" s="2226"/>
      <c r="X6" s="2226"/>
      <c r="Y6" s="2226"/>
      <c r="Z6" s="2226"/>
      <c r="AA6" s="2226"/>
      <c r="AB6" s="2226"/>
      <c r="AC6" s="2227"/>
      <c r="AD6" s="2225"/>
      <c r="AE6" s="2226"/>
      <c r="AF6" s="2226"/>
      <c r="AG6" s="2226"/>
      <c r="AH6" s="2226"/>
      <c r="AI6" s="2226"/>
      <c r="AJ6" s="2226"/>
      <c r="AK6" s="2226"/>
      <c r="AL6" s="2227"/>
      <c r="AM6" s="1313"/>
      <c r="AO6" s="438"/>
      <c r="AP6" s="438" t="str">
        <f t="shared" si="0"/>
        <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64"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64"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449" t="e">
        <f ca="1">STRCHECKDATE(V9:AL9)</f>
        <v>#NAME?</v>
      </c>
      <c r="AO8" s="438"/>
      <c r="AP8" s="438" t="str">
        <f t="shared" si="0"/>
        <v/>
      </c>
      <c r="AQ8" s="438"/>
      <c r="AR8" s="438"/>
      <c r="AS8" s="1083">
        <v>0</v>
      </c>
    </row>
    <row r="9" spans="1:45" ht="14.2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95"/>
      <c r="F11" s="2195"/>
      <c r="G11" s="2195"/>
      <c r="H11" s="2195"/>
      <c r="I11" s="2196"/>
      <c r="J11" s="1291"/>
      <c r="K11" s="1291"/>
      <c r="L11" s="1292"/>
      <c r="M11" s="475"/>
      <c r="P11" s="2198"/>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45" customHeight="1">
      <c r="Q26" s="314"/>
      <c r="R26" s="314"/>
      <c r="S26" s="217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5"/>
      <c r="U26" s="2175"/>
      <c r="V26" s="2175"/>
      <c r="W26" s="2175"/>
      <c r="X26" s="2175"/>
      <c r="Y26" s="2175"/>
      <c r="Z26" s="2175"/>
      <c r="AA26" s="2175"/>
      <c r="AB26" s="2175"/>
      <c r="AC26" s="2175"/>
      <c r="AD26" s="2175"/>
      <c r="AE26" s="2175"/>
      <c r="AF26" s="2175"/>
      <c r="AG26" s="2175"/>
      <c r="AH26" s="2175"/>
      <c r="AI26" s="2175"/>
      <c r="AJ26" s="2175"/>
      <c r="AK26" s="1171"/>
      <c r="AS26" s="1083">
        <v>51</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25.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c r="X40" s="2048" t="s">
        <v>433</v>
      </c>
      <c r="Y40" s="2047"/>
      <c r="Z40" s="2048" t="s">
        <v>434</v>
      </c>
      <c r="AA40" s="2053"/>
      <c r="AB40" s="2047"/>
      <c r="AC40" s="2212"/>
      <c r="AD40" s="2125" t="s">
        <v>448</v>
      </c>
      <c r="AE40" s="2203"/>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266" t="s">
        <v>444</v>
      </c>
      <c r="AA41" s="2160" t="s">
        <v>445</v>
      </c>
      <c r="AB41" s="2174"/>
      <c r="AC41" s="2213"/>
      <c r="AD41" s="2180"/>
      <c r="AE41" s="2204"/>
      <c r="AF41" s="1150" t="s">
        <v>442</v>
      </c>
      <c r="AG41" s="1150" t="s">
        <v>443</v>
      </c>
      <c r="AH41" s="1266"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5">
        <f ca="1">OFFSET(AA42,0,-1)+1</f>
        <v>4</v>
      </c>
      <c r="AB42" s="2205"/>
      <c r="AC42" s="1263">
        <f ca="1">OFFSET(AC42,0,-2)+1</f>
        <v>5</v>
      </c>
      <c r="AD42" s="1263">
        <f ca="1">OFFSET(AD42,0,-1)+1</f>
        <v>6</v>
      </c>
      <c r="AE42" s="1263"/>
      <c r="AF42" s="1263">
        <f ca="1">OFFSET(AF42,0,-1)+1</f>
        <v>1</v>
      </c>
      <c r="AG42" s="1263">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186</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186</v>
      </c>
      <c r="B44" s="1291" t="s">
        <v>187</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186</v>
      </c>
      <c r="B45" s="1291" t="s">
        <v>187</v>
      </c>
      <c r="C45" s="1291" t="s">
        <v>188</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186</v>
      </c>
      <c r="B46" s="1291" t="s">
        <v>187</v>
      </c>
      <c r="C46" s="1291" t="s">
        <v>188</v>
      </c>
      <c r="D46" s="1291" t="s">
        <v>189</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s="1570" customFormat="1" ht="0" hidden="1" customHeight="1">
      <c r="A47" s="1271" t="s">
        <v>186</v>
      </c>
      <c r="B47" s="1271" t="s">
        <v>187</v>
      </c>
      <c r="C47" s="1271" t="s">
        <v>188</v>
      </c>
      <c r="D47" s="1271" t="s">
        <v>189</v>
      </c>
      <c r="E47" s="2195"/>
      <c r="F47" s="2195"/>
      <c r="G47" s="2195"/>
      <c r="H47" s="2195"/>
      <c r="I47" s="2196" t="str">
        <f>S46&amp;".1"</f>
        <v>....1</v>
      </c>
      <c r="J47" s="1271"/>
      <c r="K47" s="1271"/>
      <c r="L47" s="1274" t="s">
        <v>401</v>
      </c>
      <c r="M47" s="448"/>
      <c r="N47" s="448"/>
      <c r="O47" s="448"/>
      <c r="P47" s="2198">
        <v>1</v>
      </c>
      <c r="Q47" s="1259"/>
      <c r="R47" s="294"/>
      <c r="S47" s="973"/>
      <c r="T47" s="1311"/>
      <c r="U47" s="1312"/>
      <c r="V47" s="2225"/>
      <c r="W47" s="2226"/>
      <c r="X47" s="2226"/>
      <c r="Y47" s="2226"/>
      <c r="Z47" s="2226"/>
      <c r="AA47" s="2226"/>
      <c r="AB47" s="2226"/>
      <c r="AC47" s="2227"/>
      <c r="AD47" s="2225"/>
      <c r="AE47" s="2226"/>
      <c r="AF47" s="2226"/>
      <c r="AG47" s="2226"/>
      <c r="AH47" s="2226"/>
      <c r="AI47" s="2226"/>
      <c r="AJ47" s="2226"/>
      <c r="AK47" s="2226"/>
      <c r="AL47" s="2227"/>
      <c r="AM47" s="1313"/>
      <c r="AO47" s="438"/>
      <c r="AP47" s="438" t="str">
        <f t="shared" si="1"/>
        <v/>
      </c>
      <c r="AQ47" s="438"/>
      <c r="AR47" s="438"/>
      <c r="AS47" s="449">
        <v>0</v>
      </c>
    </row>
    <row r="48" spans="1:45" ht="21.95" customHeight="1">
      <c r="A48" s="1291" t="s">
        <v>186</v>
      </c>
      <c r="B48" s="1291" t="s">
        <v>187</v>
      </c>
      <c r="C48" s="1291" t="s">
        <v>188</v>
      </c>
      <c r="D48" s="1291" t="s">
        <v>189</v>
      </c>
      <c r="E48" s="2195"/>
      <c r="F48" s="2195"/>
      <c r="G48" s="2195"/>
      <c r="H48" s="2195"/>
      <c r="I48" s="2197"/>
      <c r="J48" s="2196" t="str">
        <f>S46&amp;".1"</f>
        <v>....1</v>
      </c>
      <c r="K48" s="1291"/>
      <c r="L48" s="1292" t="s">
        <v>404</v>
      </c>
      <c r="P48" s="2198"/>
      <c r="Q48" s="2198">
        <v>1</v>
      </c>
      <c r="R48" s="295"/>
      <c r="S48" s="1264" t="str">
        <f>$J48</f>
        <v>....1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186</v>
      </c>
      <c r="B49" s="1291" t="s">
        <v>187</v>
      </c>
      <c r="C49" s="1291" t="s">
        <v>188</v>
      </c>
      <c r="D49" s="1291" t="s">
        <v>189</v>
      </c>
      <c r="E49" s="2195"/>
      <c r="F49" s="2195"/>
      <c r="G49" s="2195"/>
      <c r="H49" s="2195"/>
      <c r="I49" s="2197"/>
      <c r="J49" s="2197"/>
      <c r="K49" s="2196" t="str">
        <f>J48&amp;".1"</f>
        <v>....1.1</v>
      </c>
      <c r="L49" s="1292" t="s">
        <v>407</v>
      </c>
      <c r="P49" s="2198"/>
      <c r="Q49" s="2198"/>
      <c r="R49" s="295">
        <v>1</v>
      </c>
      <c r="S49" s="1264" t="str">
        <f>$K49</f>
        <v>....1.1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449</v>
      </c>
      <c r="AN49" s="449" t="e">
        <f ca="1">STRCHECKDATE(V50:AL50)</f>
        <v>#NAME?</v>
      </c>
      <c r="AO49" s="438"/>
      <c r="AP49" s="438" t="str">
        <f t="shared" si="1"/>
        <v/>
      </c>
      <c r="AQ49" s="438"/>
      <c r="AR49" s="438"/>
      <c r="AS49" s="1083">
        <v>21</v>
      </c>
    </row>
    <row r="50" spans="1:45" ht="0" hidden="1" customHeight="1">
      <c r="A50" s="1291" t="s">
        <v>186</v>
      </c>
      <c r="B50" s="1291" t="s">
        <v>187</v>
      </c>
      <c r="C50" s="1291" t="s">
        <v>188</v>
      </c>
      <c r="D50" s="1291" t="s">
        <v>189</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0</v>
      </c>
    </row>
    <row r="51" spans="1:45" ht="11.45" customHeight="1">
      <c r="A51" s="1291" t="s">
        <v>186</v>
      </c>
      <c r="B51" s="1291" t="s">
        <v>187</v>
      </c>
      <c r="C51" s="1291" t="s">
        <v>188</v>
      </c>
      <c r="D51" s="1291" t="s">
        <v>189</v>
      </c>
      <c r="E51" s="2195"/>
      <c r="F51" s="2195"/>
      <c r="G51" s="2195"/>
      <c r="H51" s="2195"/>
      <c r="I51" s="2197"/>
      <c r="J51" s="2196"/>
      <c r="K51" s="1291"/>
      <c r="L51" s="1292"/>
      <c r="P51" s="2198"/>
      <c r="Q51" s="2198"/>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186</v>
      </c>
      <c r="B52" s="1291" t="s">
        <v>187</v>
      </c>
      <c r="C52" s="1291" t="s">
        <v>188</v>
      </c>
      <c r="D52" s="1291" t="s">
        <v>189</v>
      </c>
      <c r="E52" s="2195"/>
      <c r="F52" s="2195"/>
      <c r="G52" s="2195"/>
      <c r="H52" s="2195"/>
      <c r="I52" s="2196"/>
      <c r="J52" s="1291"/>
      <c r="K52" s="1291"/>
      <c r="L52" s="1292"/>
      <c r="P52" s="2198"/>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186</v>
      </c>
      <c r="B53" s="1291" t="s">
        <v>187</v>
      </c>
      <c r="C53" s="1291" t="s">
        <v>188</v>
      </c>
      <c r="D53" s="1291" t="s">
        <v>189</v>
      </c>
      <c r="E53" s="2195"/>
      <c r="F53" s="2195"/>
      <c r="G53" s="2195"/>
      <c r="H53" s="2194"/>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186</v>
      </c>
      <c r="B54" s="1271" t="s">
        <v>187</v>
      </c>
      <c r="C54" s="1271" t="s">
        <v>188</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186</v>
      </c>
      <c r="B55" s="1271" t="s">
        <v>187</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186</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1500000000000004"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45" customHeight="1">
      <c r="M58" s="1088"/>
      <c r="N58" s="1088"/>
      <c r="O58" s="475"/>
      <c r="P58" s="1083"/>
      <c r="Q58" s="1083"/>
      <c r="R58" s="1083"/>
      <c r="S58" s="1083"/>
      <c r="AN58" s="1083"/>
      <c r="AO58" s="1083"/>
      <c r="AP58" s="1083"/>
      <c r="AQ58" s="1083"/>
      <c r="AR58" s="1083"/>
      <c r="AS58" s="1083">
        <v>11</v>
      </c>
    </row>
    <row r="59" spans="1:45" ht="14.6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14</v>
      </c>
    </row>
    <row r="60" spans="1:45" ht="14.65"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14</v>
      </c>
    </row>
    <row r="61" spans="1:45" ht="14.65" customHeight="1">
      <c r="O61" s="475"/>
      <c r="T61" s="2193"/>
      <c r="U61" s="2193"/>
      <c r="V61" s="2193"/>
      <c r="W61" s="2193"/>
      <c r="X61" s="2193"/>
      <c r="Y61" s="2193"/>
      <c r="Z61" s="2193"/>
      <c r="AA61" s="2193"/>
      <c r="AB61" s="2193"/>
      <c r="AC61" s="2193"/>
      <c r="AD61" s="2193"/>
      <c r="AE61" s="2193"/>
      <c r="AF61" s="2193"/>
      <c r="AG61" s="2193"/>
      <c r="AH61" s="2193"/>
      <c r="AI61" s="2193"/>
      <c r="AJ61" s="2193"/>
      <c r="AK61" s="2193"/>
      <c r="AL61" s="2193"/>
      <c r="AM61" s="2193"/>
      <c r="AS61" s="1083">
        <v>14</v>
      </c>
    </row>
    <row r="62" spans="1:45" ht="14.65" customHeight="1">
      <c r="O62" s="475"/>
      <c r="AS62" s="1083">
        <v>14</v>
      </c>
    </row>
    <row r="63" spans="1:45" ht="14.65" customHeight="1">
      <c r="O63" s="475"/>
      <c r="S63" s="1181"/>
      <c r="T63" s="2106"/>
      <c r="U63" s="2193"/>
      <c r="V63" s="2193"/>
      <c r="W63" s="2193"/>
      <c r="X63" s="2193"/>
      <c r="Y63" s="2193"/>
      <c r="Z63" s="2193"/>
      <c r="AA63" s="2193"/>
      <c r="AB63" s="2193"/>
      <c r="AC63" s="2193"/>
      <c r="AD63" s="2193"/>
      <c r="AE63" s="2193"/>
      <c r="AF63" s="2193"/>
      <c r="AG63" s="2193"/>
      <c r="AH63" s="2193"/>
      <c r="AI63" s="2193"/>
      <c r="AJ63" s="2193"/>
      <c r="AK63" s="2193"/>
      <c r="AL63" s="2193"/>
      <c r="AM63" s="2193"/>
      <c r="AS63" s="1083">
        <v>14</v>
      </c>
    </row>
    <row r="64" spans="1:45" ht="14.65" customHeight="1">
      <c r="O64" s="475"/>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14</v>
      </c>
    </row>
    <row r="65" spans="1:45" ht="14.65" customHeight="1">
      <c r="T65" s="2193"/>
      <c r="U65" s="2193"/>
      <c r="V65" s="2193"/>
      <c r="W65" s="2193"/>
      <c r="X65" s="2193"/>
      <c r="Y65" s="2193"/>
      <c r="Z65" s="2193"/>
      <c r="AA65" s="2193"/>
      <c r="AB65" s="2193"/>
      <c r="AC65" s="2193"/>
      <c r="AD65" s="2193"/>
      <c r="AE65" s="2193"/>
      <c r="AF65" s="2193"/>
      <c r="AG65" s="2193"/>
      <c r="AH65" s="2193"/>
      <c r="AI65" s="2193"/>
      <c r="AJ65" s="2193"/>
      <c r="AK65" s="2193"/>
      <c r="AL65" s="2193"/>
      <c r="AM65" s="2193"/>
      <c r="AS65" s="1083">
        <v>14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2" width="11.42578125" style="1563"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2" customWidth="1"/>
    <col min="21" max="21" width="12" style="2014" customWidth="1"/>
    <col min="22" max="22" width="31" style="1563" customWidth="1"/>
    <col min="23" max="23" width="0.140625" style="1563" customWidth="1"/>
    <col min="24" max="28" width="21.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21.7109375" style="1563" customWidth="1"/>
    <col min="34" max="37" width="21" style="1563" customWidth="1"/>
    <col min="38" max="38" width="11" style="1563" customWidth="1"/>
    <col min="39" max="39" width="3.7109375" style="1563" customWidth="1"/>
    <col min="40" max="40" width="11" style="1563" customWidth="1"/>
    <col min="41" max="41" width="8.5703125" style="1563" hidden="1" customWidth="1"/>
    <col min="42" max="42" width="4" style="1563" customWidth="1"/>
    <col min="43" max="43" width="115" style="1563" customWidth="1"/>
    <col min="44" max="48" width="10" style="1570" customWidth="1"/>
    <col min="49" max="49" width="10.5703125" style="1563" hidden="1"/>
  </cols>
  <sheetData>
    <row r="1" spans="1:49" ht="22.5" hidden="1" customHeight="1">
      <c r="AB1" s="265"/>
      <c r="AC1" s="265"/>
      <c r="AK1" s="265"/>
      <c r="AL1" s="265"/>
      <c r="AW1" s="1083" t="s">
        <v>14</v>
      </c>
    </row>
    <row r="2" spans="1:49" ht="21" hidden="1" customHeight="1">
      <c r="A2" s="1195"/>
      <c r="B2" s="1195"/>
      <c r="C2" s="1195"/>
      <c r="D2" s="1195"/>
      <c r="E2" s="2220">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123</v>
      </c>
      <c r="W2" s="238"/>
      <c r="X2" s="2188"/>
      <c r="Y2" s="2189"/>
      <c r="Z2" s="2189"/>
      <c r="AA2" s="2189"/>
      <c r="AB2" s="2189"/>
      <c r="AC2" s="2189"/>
      <c r="AD2" s="2189"/>
      <c r="AE2" s="2189"/>
      <c r="AF2" s="2190"/>
      <c r="AG2" s="2188" t="e">
        <f>INDEX(PT_DIFFERENTIATION_NTAR,MATCH(A2,PT_DIFFERENTIATION_NTAR_ID,0))</f>
        <v>#N/A</v>
      </c>
      <c r="AH2" s="2189"/>
      <c r="AI2" s="2189"/>
      <c r="AJ2" s="2189"/>
      <c r="AK2" s="2189"/>
      <c r="AL2" s="2189"/>
      <c r="AM2" s="2189"/>
      <c r="AN2" s="2189"/>
      <c r="AO2" s="2189"/>
      <c r="AP2" s="2190"/>
      <c r="AQ2" s="1186" t="s">
        <v>394</v>
      </c>
      <c r="AS2" s="438"/>
      <c r="AT2" s="438" t="str">
        <f t="shared" ref="AT2:AT8" si="0">IF(V2="","",V2)</f>
        <v>Наименование тарифа</v>
      </c>
      <c r="AU2" s="438"/>
      <c r="AV2" s="438"/>
      <c r="AW2" s="1083">
        <v>0</v>
      </c>
    </row>
    <row r="3" spans="1:49" ht="21" hidden="1" customHeight="1">
      <c r="A3" s="1195"/>
      <c r="B3" s="1195"/>
      <c r="C3" s="1195"/>
      <c r="D3" s="1195"/>
      <c r="E3" s="2221"/>
      <c r="F3" s="2220">
        <v>1</v>
      </c>
      <c r="G3" s="1195"/>
      <c r="H3" s="1195"/>
      <c r="I3" s="1195"/>
      <c r="J3" s="1195"/>
      <c r="K3" s="1195"/>
      <c r="L3" s="1195"/>
      <c r="M3" s="1238"/>
      <c r="N3" s="626"/>
      <c r="O3" s="626"/>
      <c r="P3" s="626"/>
      <c r="Q3" s="1260"/>
      <c r="R3" s="290"/>
      <c r="S3" s="447"/>
      <c r="T3" s="291"/>
      <c r="U3" s="1264" t="e">
        <f>INDEX(PT_DIFFERENTIATION_NUM_TER,MATCH(B3,PT_DIFFERENTIATION_TER_ID,0))</f>
        <v>#N/A</v>
      </c>
      <c r="V3" s="246" t="s">
        <v>395</v>
      </c>
      <c r="W3" s="238"/>
      <c r="X3" s="2188"/>
      <c r="Y3" s="2189"/>
      <c r="Z3" s="2189"/>
      <c r="AA3" s="2189"/>
      <c r="AB3" s="2189"/>
      <c r="AC3" s="2189"/>
      <c r="AD3" s="2189"/>
      <c r="AE3" s="2189"/>
      <c r="AF3" s="2190"/>
      <c r="AG3" s="2188" t="e">
        <f>INDEX(PT_DIFFERENTIATION_TER,MATCH(B3,PT_DIFFERENTIATION_TER_ID,0))</f>
        <v>#N/A</v>
      </c>
      <c r="AH3" s="2189"/>
      <c r="AI3" s="2189"/>
      <c r="AJ3" s="2189"/>
      <c r="AK3" s="2189"/>
      <c r="AL3" s="2189"/>
      <c r="AM3" s="2189"/>
      <c r="AN3" s="2189"/>
      <c r="AO3" s="2189"/>
      <c r="AP3" s="2190"/>
      <c r="AQ3" s="1186" t="s">
        <v>396</v>
      </c>
      <c r="AS3" s="438"/>
      <c r="AT3" s="438" t="str">
        <f t="shared" si="0"/>
        <v>Территория действия тарифа</v>
      </c>
      <c r="AU3" s="438"/>
      <c r="AV3" s="438"/>
      <c r="AW3" s="1083">
        <v>0</v>
      </c>
    </row>
    <row r="4" spans="1:49" ht="22.5" hidden="1" customHeight="1">
      <c r="A4" s="1195"/>
      <c r="B4" s="1195"/>
      <c r="C4" s="1195"/>
      <c r="D4" s="1195"/>
      <c r="E4" s="2221"/>
      <c r="F4" s="2221"/>
      <c r="G4" s="2220">
        <v>1</v>
      </c>
      <c r="H4" s="1195"/>
      <c r="I4" s="1195"/>
      <c r="J4" s="1195"/>
      <c r="K4" s="1195"/>
      <c r="L4" s="1195"/>
      <c r="M4" s="1238"/>
      <c r="N4" s="626"/>
      <c r="O4" s="626"/>
      <c r="P4" s="626"/>
      <c r="Q4" s="292"/>
      <c r="R4" s="290"/>
      <c r="S4" s="447"/>
      <c r="T4" s="291"/>
      <c r="U4" s="1264" t="e">
        <f>INDEX(PT_DIFFERENTIATION_NUM_CS,MATCH(C4,PT_DIFFERENTIATION_CS_ID,0))</f>
        <v>#N/A</v>
      </c>
      <c r="V4" s="247" t="s">
        <v>397</v>
      </c>
      <c r="W4" s="238"/>
      <c r="X4" s="2188"/>
      <c r="Y4" s="2189"/>
      <c r="Z4" s="2189"/>
      <c r="AA4" s="2189"/>
      <c r="AB4" s="2189"/>
      <c r="AC4" s="2189"/>
      <c r="AD4" s="2189"/>
      <c r="AE4" s="2189"/>
      <c r="AF4" s="2190"/>
      <c r="AG4" s="2188" t="e">
        <f>INDEX(PT_DIFFERENTIATION_CS,MATCH(C4,PT_DIFFERENTIATION_CS_ID,0))</f>
        <v>#N/A</v>
      </c>
      <c r="AH4" s="2189"/>
      <c r="AI4" s="2189"/>
      <c r="AJ4" s="2189"/>
      <c r="AK4" s="2189"/>
      <c r="AL4" s="2189"/>
      <c r="AM4" s="2189"/>
      <c r="AN4" s="2189"/>
      <c r="AO4" s="2189"/>
      <c r="AP4" s="2190"/>
      <c r="AQ4" s="1186" t="s">
        <v>398</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221"/>
      <c r="F5" s="2221"/>
      <c r="G5" s="2221"/>
      <c r="H5" s="2220">
        <v>1</v>
      </c>
      <c r="I5" s="1195"/>
      <c r="J5" s="1195"/>
      <c r="K5" s="1195"/>
      <c r="L5" s="1195"/>
      <c r="M5" s="1238"/>
      <c r="N5" s="626"/>
      <c r="O5" s="626"/>
      <c r="P5" s="626"/>
      <c r="Q5" s="292"/>
      <c r="R5" s="290"/>
      <c r="S5" s="447"/>
      <c r="T5" s="291"/>
      <c r="U5" s="1264" t="e">
        <f>INDEX(PT_DIFFERENTIATION_NUM_IST_TE,MATCH(D5,PT_DIFFERENTIATION_IST_TE_ID,0))</f>
        <v>#N/A</v>
      </c>
      <c r="V5" s="248" t="s">
        <v>399</v>
      </c>
      <c r="W5" s="238"/>
      <c r="X5" s="2188"/>
      <c r="Y5" s="2189"/>
      <c r="Z5" s="2189"/>
      <c r="AA5" s="2189"/>
      <c r="AB5" s="2189"/>
      <c r="AC5" s="2189"/>
      <c r="AD5" s="2189"/>
      <c r="AE5" s="2189"/>
      <c r="AF5" s="2190"/>
      <c r="AG5" s="2188" t="e">
        <f>INDEX(PT_DIFFERENTIATION_IST_TE,MATCH(D5,PT_DIFFERENTIATION_IST_TE_ID,0))</f>
        <v>#N/A</v>
      </c>
      <c r="AH5" s="2189"/>
      <c r="AI5" s="2189"/>
      <c r="AJ5" s="2189"/>
      <c r="AK5" s="2189"/>
      <c r="AL5" s="2189"/>
      <c r="AM5" s="2189"/>
      <c r="AN5" s="2189"/>
      <c r="AO5" s="2189"/>
      <c r="AP5" s="2190"/>
      <c r="AQ5" s="1186" t="s">
        <v>400</v>
      </c>
      <c r="AS5" s="438"/>
      <c r="AT5" s="438" t="str">
        <f t="shared" si="0"/>
        <v xml:space="preserve">Источник тепловой энергии  </v>
      </c>
      <c r="AU5" s="438"/>
      <c r="AV5" s="438"/>
      <c r="AW5" s="1083">
        <v>0</v>
      </c>
    </row>
    <row r="6" spans="1:49" ht="14.25" hidden="1" customHeight="1">
      <c r="A6" s="1195"/>
      <c r="B6" s="1195"/>
      <c r="C6" s="1195"/>
      <c r="D6" s="1195"/>
      <c r="E6" s="2221"/>
      <c r="F6" s="2221"/>
      <c r="G6" s="2221"/>
      <c r="H6" s="2221"/>
      <c r="I6" s="2066" t="e">
        <f>U5&amp;".1"</f>
        <v>#N/A</v>
      </c>
      <c r="J6" s="1195"/>
      <c r="K6" s="1195"/>
      <c r="L6" s="1195"/>
      <c r="M6" s="1238" t="s">
        <v>401</v>
      </c>
      <c r="N6" s="447"/>
      <c r="Q6" s="2198">
        <v>1</v>
      </c>
      <c r="R6" s="1259"/>
      <c r="S6" s="1259"/>
      <c r="T6" s="294"/>
      <c r="U6" s="973"/>
      <c r="V6" s="1311"/>
      <c r="W6" s="1312"/>
      <c r="X6" s="2225"/>
      <c r="Y6" s="2226"/>
      <c r="Z6" s="2226"/>
      <c r="AA6" s="2226"/>
      <c r="AB6" s="2226"/>
      <c r="AC6" s="2226"/>
      <c r="AD6" s="2226"/>
      <c r="AE6" s="2226"/>
      <c r="AF6" s="2227"/>
      <c r="AG6" s="2225"/>
      <c r="AH6" s="2226"/>
      <c r="AI6" s="2226"/>
      <c r="AJ6" s="2226"/>
      <c r="AK6" s="2226"/>
      <c r="AL6" s="2226"/>
      <c r="AM6" s="2226"/>
      <c r="AN6" s="2226"/>
      <c r="AO6" s="2226"/>
      <c r="AP6" s="2227"/>
      <c r="AQ6" s="1313"/>
      <c r="AS6" s="438"/>
      <c r="AT6" s="438" t="str">
        <f t="shared" si="0"/>
        <v/>
      </c>
      <c r="AU6" s="438"/>
      <c r="AV6" s="438"/>
      <c r="AW6" s="1083">
        <v>0</v>
      </c>
    </row>
    <row r="7" spans="1:49" ht="21" hidden="1" customHeight="1">
      <c r="A7" s="1195"/>
      <c r="B7" s="1195"/>
      <c r="C7" s="1195"/>
      <c r="D7" s="1195"/>
      <c r="E7" s="2221"/>
      <c r="F7" s="2221"/>
      <c r="G7" s="2221"/>
      <c r="H7" s="2221"/>
      <c r="I7" s="2048"/>
      <c r="J7" s="2066" t="e">
        <f>I6&amp;".1"</f>
        <v>#N/A</v>
      </c>
      <c r="K7" s="1195"/>
      <c r="L7" s="1195"/>
      <c r="M7" s="1238" t="s">
        <v>404</v>
      </c>
      <c r="N7" s="447"/>
      <c r="O7" s="265"/>
      <c r="Q7" s="2198"/>
      <c r="R7" s="2198">
        <v>1</v>
      </c>
      <c r="S7" s="456"/>
      <c r="T7" s="295"/>
      <c r="U7" s="1264" t="e">
        <f>$J7</f>
        <v>#N/A</v>
      </c>
      <c r="V7" s="224" t="s">
        <v>405</v>
      </c>
      <c r="W7" s="238"/>
      <c r="X7" s="2182"/>
      <c r="Y7" s="2183"/>
      <c r="Z7" s="2183"/>
      <c r="AA7" s="2183"/>
      <c r="AB7" s="2183"/>
      <c r="AC7" s="2178"/>
      <c r="AD7" s="2178"/>
      <c r="AE7" s="2178"/>
      <c r="AF7" s="2238"/>
      <c r="AG7" s="2182"/>
      <c r="AH7" s="2183"/>
      <c r="AI7" s="2183"/>
      <c r="AJ7" s="2183"/>
      <c r="AK7" s="2183"/>
      <c r="AL7" s="2183"/>
      <c r="AM7" s="2183"/>
      <c r="AN7" s="2183"/>
      <c r="AO7" s="2183"/>
      <c r="AP7" s="2184"/>
      <c r="AQ7" s="1186" t="s">
        <v>406</v>
      </c>
      <c r="AS7" s="438"/>
      <c r="AT7" s="438" t="str">
        <f t="shared" si="0"/>
        <v>Группа потребителей</v>
      </c>
      <c r="AU7" s="438"/>
      <c r="AV7" s="438"/>
      <c r="AW7" s="1083">
        <v>0</v>
      </c>
    </row>
    <row r="8" spans="1:49" ht="21" hidden="1" customHeight="1">
      <c r="A8" s="1195"/>
      <c r="B8" s="1195"/>
      <c r="C8" s="1195"/>
      <c r="D8" s="1195"/>
      <c r="E8" s="2221"/>
      <c r="F8" s="2221"/>
      <c r="G8" s="2221"/>
      <c r="H8" s="2221"/>
      <c r="I8" s="2048"/>
      <c r="J8" s="2048"/>
      <c r="K8" s="2066" t="e">
        <f>J7&amp;".1"</f>
        <v>#N/A</v>
      </c>
      <c r="L8" s="78"/>
      <c r="M8" s="1238" t="s">
        <v>407</v>
      </c>
      <c r="N8" s="447"/>
      <c r="O8" s="265"/>
      <c r="P8" s="265"/>
      <c r="Q8" s="2198"/>
      <c r="R8" s="2198"/>
      <c r="S8" s="2198">
        <v>1</v>
      </c>
      <c r="T8" s="295"/>
      <c r="U8" s="1264" t="e">
        <f>$K8</f>
        <v>#N/A</v>
      </c>
      <c r="V8" s="1275"/>
      <c r="W8" s="238"/>
      <c r="X8" s="689"/>
      <c r="Y8" s="689"/>
      <c r="Z8" s="689"/>
      <c r="AA8" s="689"/>
      <c r="AB8" s="1333"/>
      <c r="AC8" s="2199"/>
      <c r="AD8" s="2076" t="s">
        <v>65</v>
      </c>
      <c r="AE8" s="2199"/>
      <c r="AF8" s="2076" t="s">
        <v>65</v>
      </c>
      <c r="AG8" s="1335"/>
      <c r="AH8" s="689"/>
      <c r="AI8" s="689"/>
      <c r="AJ8" s="689"/>
      <c r="AK8" s="1185"/>
      <c r="AL8" s="2199"/>
      <c r="AM8" s="2076" t="s">
        <v>65</v>
      </c>
      <c r="AN8" s="2199"/>
      <c r="AO8" s="2076" t="s">
        <v>65</v>
      </c>
      <c r="AP8" s="263"/>
      <c r="AQ8" s="1235" t="s">
        <v>450</v>
      </c>
      <c r="AR8" s="449" t="e">
        <f ca="1">STRCHECKDATE(X10:AP10)</f>
        <v>#NAME?</v>
      </c>
      <c r="AS8" s="438"/>
      <c r="AT8" s="438" t="str">
        <f t="shared" si="0"/>
        <v/>
      </c>
      <c r="AU8" s="438"/>
      <c r="AV8" s="438"/>
      <c r="AW8" s="1083">
        <v>0</v>
      </c>
    </row>
    <row r="9" spans="1:49" ht="21" hidden="1" customHeight="1">
      <c r="A9" s="1195"/>
      <c r="B9" s="1195"/>
      <c r="C9" s="1195"/>
      <c r="D9" s="1195"/>
      <c r="E9" s="2221"/>
      <c r="F9" s="2221"/>
      <c r="G9" s="2221"/>
      <c r="H9" s="2221"/>
      <c r="I9" s="2048"/>
      <c r="J9" s="2048"/>
      <c r="K9" s="2048"/>
      <c r="L9" s="2066" t="e">
        <f>K8&amp;".1"</f>
        <v>#N/A</v>
      </c>
      <c r="M9" s="1238"/>
      <c r="N9" s="447"/>
      <c r="O9" s="265"/>
      <c r="P9" s="265"/>
      <c r="Q9" s="2198"/>
      <c r="R9" s="2198"/>
      <c r="S9" s="2198"/>
      <c r="T9" s="295"/>
      <c r="U9" s="1264" t="e">
        <f>$L9</f>
        <v>#N/A</v>
      </c>
      <c r="V9" s="1319"/>
      <c r="W9" s="238"/>
      <c r="X9" s="263"/>
      <c r="Y9" s="689"/>
      <c r="Z9" s="689"/>
      <c r="AA9" s="689"/>
      <c r="AB9" s="1333"/>
      <c r="AC9" s="2200"/>
      <c r="AD9" s="2076"/>
      <c r="AE9" s="2200"/>
      <c r="AF9" s="2076"/>
      <c r="AG9" s="1335"/>
      <c r="AH9" s="689"/>
      <c r="AI9" s="689"/>
      <c r="AJ9" s="689"/>
      <c r="AK9" s="1185"/>
      <c r="AL9" s="2200"/>
      <c r="AM9" s="2076"/>
      <c r="AN9" s="2200"/>
      <c r="AO9" s="2076"/>
      <c r="AP9" s="263"/>
      <c r="AQ9" s="2217" t="s">
        <v>451</v>
      </c>
      <c r="AS9" s="438"/>
      <c r="AT9" s="438"/>
      <c r="AU9" s="438"/>
      <c r="AV9" s="438"/>
      <c r="AW9" s="1083">
        <v>0</v>
      </c>
    </row>
    <row r="10" spans="1:49" ht="14.25" hidden="1" customHeight="1">
      <c r="A10" s="1195"/>
      <c r="B10" s="1195"/>
      <c r="C10" s="1195"/>
      <c r="D10" s="1195"/>
      <c r="E10" s="2221"/>
      <c r="F10" s="2221"/>
      <c r="G10" s="2221"/>
      <c r="H10" s="2221"/>
      <c r="I10" s="2048"/>
      <c r="J10" s="2048"/>
      <c r="K10" s="2048"/>
      <c r="L10" s="2066"/>
      <c r="M10" s="1238"/>
      <c r="N10" s="447"/>
      <c r="O10" s="265"/>
      <c r="P10" s="265"/>
      <c r="Q10" s="2198"/>
      <c r="R10" s="2198"/>
      <c r="S10" s="2198"/>
      <c r="T10" s="295"/>
      <c r="U10" s="1270"/>
      <c r="V10" s="238"/>
      <c r="W10" s="238"/>
      <c r="X10" s="263"/>
      <c r="Y10" s="263"/>
      <c r="Z10" s="263"/>
      <c r="AA10" s="263"/>
      <c r="AB10" s="1334" t="str">
        <f>AC8&amp;"-"&amp;AE8</f>
        <v>-</v>
      </c>
      <c r="AC10" s="2200"/>
      <c r="AD10" s="2076"/>
      <c r="AE10" s="2200"/>
      <c r="AF10" s="2076"/>
      <c r="AG10" s="1310"/>
      <c r="AH10" s="263"/>
      <c r="AI10" s="263"/>
      <c r="AJ10" s="263"/>
      <c r="AK10" s="266" t="str">
        <f>AL8&amp;"-"&amp;AN8</f>
        <v>-</v>
      </c>
      <c r="AL10" s="2200"/>
      <c r="AM10" s="2076"/>
      <c r="AN10" s="2200"/>
      <c r="AO10" s="2076"/>
      <c r="AP10" s="263"/>
      <c r="AQ10" s="2218"/>
      <c r="AS10" s="438"/>
      <c r="AT10" s="438" t="str">
        <f>IF(V10="","",V10)</f>
        <v/>
      </c>
      <c r="AU10" s="438"/>
      <c r="AV10" s="438"/>
      <c r="AW10" s="1083">
        <v>0</v>
      </c>
    </row>
    <row r="11" spans="1:49" ht="11.25" hidden="1" customHeight="1">
      <c r="A11" s="1195"/>
      <c r="B11" s="1195"/>
      <c r="C11" s="1195"/>
      <c r="D11" s="1195"/>
      <c r="E11" s="2221"/>
      <c r="F11" s="2221"/>
      <c r="G11" s="2221"/>
      <c r="H11" s="2221"/>
      <c r="I11" s="2048"/>
      <c r="J11" s="2048"/>
      <c r="K11" s="2066"/>
      <c r="L11" s="1195"/>
      <c r="M11" s="1238"/>
      <c r="N11" s="447"/>
      <c r="O11" s="265"/>
      <c r="P11" s="265"/>
      <c r="Q11" s="2198"/>
      <c r="R11" s="2198"/>
      <c r="S11" s="2198"/>
      <c r="T11" s="295"/>
      <c r="U11" s="1206"/>
      <c r="V11" s="226" t="s">
        <v>452</v>
      </c>
      <c r="W11" s="1320"/>
      <c r="X11" s="1321"/>
      <c r="Y11" s="1321"/>
      <c r="Z11" s="1321"/>
      <c r="AA11" s="1321"/>
      <c r="AB11" s="1322"/>
      <c r="AC11" s="2200"/>
      <c r="AD11" s="2076"/>
      <c r="AE11" s="2200"/>
      <c r="AF11" s="2076"/>
      <c r="AG11" s="1321"/>
      <c r="AH11" s="1321"/>
      <c r="AI11" s="1321"/>
      <c r="AJ11" s="1321"/>
      <c r="AK11" s="1322"/>
      <c r="AL11" s="2200"/>
      <c r="AM11" s="2076"/>
      <c r="AN11" s="2200"/>
      <c r="AO11" s="2076"/>
      <c r="AP11" s="1323"/>
      <c r="AQ11" s="2218"/>
      <c r="AS11" s="438"/>
      <c r="AT11" s="438"/>
      <c r="AU11" s="438"/>
      <c r="AV11" s="438"/>
      <c r="AW11" s="1083">
        <v>0</v>
      </c>
    </row>
    <row r="12" spans="1:49" ht="15" hidden="1" customHeight="1">
      <c r="A12" s="1195"/>
      <c r="B12" s="1195"/>
      <c r="C12" s="1195"/>
      <c r="D12" s="1195"/>
      <c r="E12" s="2221"/>
      <c r="F12" s="2221"/>
      <c r="G12" s="2221"/>
      <c r="H12" s="2221"/>
      <c r="I12" s="2048"/>
      <c r="J12" s="2066"/>
      <c r="K12" s="1195"/>
      <c r="L12" s="1195"/>
      <c r="M12" s="1238"/>
      <c r="N12" s="447"/>
      <c r="O12" s="265"/>
      <c r="Q12" s="2198"/>
      <c r="R12" s="2198"/>
      <c r="S12" s="1259"/>
      <c r="T12" s="294"/>
      <c r="U12" s="1206"/>
      <c r="V12" s="225" t="s">
        <v>409</v>
      </c>
      <c r="W12" s="305"/>
      <c r="X12" s="305"/>
      <c r="Y12" s="305"/>
      <c r="Z12" s="305"/>
      <c r="AA12" s="305"/>
      <c r="AB12" s="305"/>
      <c r="AC12" s="1336"/>
      <c r="AD12" s="1336"/>
      <c r="AE12" s="1336"/>
      <c r="AF12" s="1336"/>
      <c r="AG12" s="305"/>
      <c r="AH12" s="305"/>
      <c r="AI12" s="305"/>
      <c r="AJ12" s="305"/>
      <c r="AK12" s="305"/>
      <c r="AL12" s="305"/>
      <c r="AM12" s="305"/>
      <c r="AN12" s="305"/>
      <c r="AO12" s="305"/>
      <c r="AP12" s="262"/>
      <c r="AQ12" s="2219"/>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221"/>
      <c r="F13" s="2221"/>
      <c r="G13" s="2221"/>
      <c r="H13" s="2221"/>
      <c r="I13" s="2066"/>
      <c r="J13" s="1195"/>
      <c r="K13" s="1195"/>
      <c r="L13" s="1195"/>
      <c r="M13" s="1238"/>
      <c r="N13" s="447"/>
      <c r="Q13" s="2198"/>
      <c r="R13" s="1259"/>
      <c r="S13" s="1259"/>
      <c r="T13" s="294"/>
      <c r="U13" s="1206"/>
      <c r="V13" s="303" t="s">
        <v>410</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221"/>
      <c r="F14" s="2221"/>
      <c r="G14" s="2221"/>
      <c r="H14" s="2220"/>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221"/>
      <c r="F15" s="2221"/>
      <c r="G15" s="2220"/>
      <c r="H15" s="1302"/>
      <c r="I15" s="1302"/>
      <c r="J15" s="1302"/>
      <c r="K15" s="1302"/>
      <c r="L15" s="1302"/>
      <c r="M15" s="1305"/>
      <c r="N15" s="1306"/>
      <c r="O15" s="1306"/>
      <c r="P15" s="289"/>
      <c r="Q15" s="1244"/>
      <c r="R15" s="1245"/>
      <c r="S15" s="1244"/>
      <c r="T15" s="1244"/>
      <c r="U15" s="1246"/>
      <c r="V15" s="1247" t="s">
        <v>412</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221"/>
      <c r="F16" s="2220"/>
      <c r="G16" s="1302"/>
      <c r="H16" s="1302"/>
      <c r="I16" s="1302"/>
      <c r="J16" s="1302"/>
      <c r="K16" s="1302"/>
      <c r="L16" s="1302"/>
      <c r="M16" s="1305"/>
      <c r="N16" s="1307"/>
      <c r="O16" s="1307"/>
      <c r="P16" s="289"/>
      <c r="Q16" s="1244"/>
      <c r="R16" s="1245"/>
      <c r="S16" s="1244"/>
      <c r="T16" s="1244"/>
      <c r="U16" s="1250"/>
      <c r="V16" s="1251" t="s">
        <v>413</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220"/>
      <c r="F17" s="1302"/>
      <c r="G17" s="1302"/>
      <c r="H17" s="1302"/>
      <c r="I17" s="1302"/>
      <c r="J17" s="1302"/>
      <c r="K17" s="1302"/>
      <c r="L17" s="1302"/>
      <c r="M17" s="1305"/>
      <c r="N17" s="1307"/>
      <c r="O17" s="1307"/>
      <c r="P17" s="289"/>
      <c r="Q17" s="1244"/>
      <c r="R17" s="1245"/>
      <c r="S17" s="1244"/>
      <c r="T17" s="1244"/>
      <c r="U17" s="1250"/>
      <c r="V17" s="1253" t="s">
        <v>414</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192"/>
      <c r="AM19" s="2191" t="s">
        <v>65</v>
      </c>
      <c r="AN19" s="2192"/>
      <c r="AO19" s="2191" t="s">
        <v>65</v>
      </c>
      <c r="AW19" s="1083">
        <v>0</v>
      </c>
    </row>
    <row r="20" spans="1:49" ht="14.25" hidden="1" customHeight="1">
      <c r="AG20" s="1288"/>
      <c r="AH20" s="1288"/>
      <c r="AI20" s="1288"/>
      <c r="AJ20" s="1288"/>
      <c r="AK20" s="1289"/>
      <c r="AL20" s="2192"/>
      <c r="AM20" s="2191"/>
      <c r="AN20" s="2192"/>
      <c r="AO20" s="2191"/>
      <c r="AW20" s="1083">
        <v>0</v>
      </c>
    </row>
    <row r="21" spans="1:49" ht="14.25" hidden="1" customHeight="1">
      <c r="AG21" s="1288"/>
      <c r="AH21" s="1288"/>
      <c r="AI21" s="1288"/>
      <c r="AJ21" s="1288"/>
      <c r="AK21" s="1289"/>
      <c r="AL21" s="2192"/>
      <c r="AM21" s="2191"/>
      <c r="AN21" s="2192"/>
      <c r="AO21" s="2191"/>
      <c r="AW21" s="1083">
        <v>0</v>
      </c>
    </row>
    <row r="22" spans="1:49" ht="14.25" hidden="1" customHeight="1">
      <c r="AG22" s="1288"/>
      <c r="AH22" s="1288"/>
      <c r="AI22" s="1288"/>
      <c r="AJ22" s="1288"/>
      <c r="AK22" s="266" t="str">
        <f>AL19&amp;"-"&amp;AN19</f>
        <v>-</v>
      </c>
      <c r="AL22" s="2191"/>
      <c r="AM22" s="2191"/>
      <c r="AN22" s="2191"/>
      <c r="AO22" s="2191"/>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415</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416</v>
      </c>
      <c r="Q26" s="1290"/>
      <c r="R26" s="1299"/>
      <c r="S26" s="1299"/>
      <c r="T26" s="1299"/>
      <c r="U26" s="667"/>
      <c r="V26" s="1088" t="s">
        <v>417</v>
      </c>
      <c r="AD26" s="124" t="s">
        <v>418</v>
      </c>
      <c r="AF26" s="124" t="s">
        <v>419</v>
      </c>
      <c r="AG26" s="1088" t="s">
        <v>417</v>
      </c>
      <c r="AM26" s="124" t="s">
        <v>420</v>
      </c>
      <c r="AO26" s="124" t="s">
        <v>419</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65"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65" customHeight="1">
      <c r="R30" s="314"/>
      <c r="S30" s="314"/>
      <c r="T30" s="314"/>
      <c r="U30" s="217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5"/>
      <c r="W30" s="2175"/>
      <c r="X30" s="2175"/>
      <c r="Y30" s="2175"/>
      <c r="Z30" s="2175"/>
      <c r="AA30" s="2175"/>
      <c r="AB30" s="2175"/>
      <c r="AC30" s="2175"/>
      <c r="AD30" s="2175"/>
      <c r="AE30" s="2175"/>
      <c r="AF30" s="2175"/>
      <c r="AG30" s="2175"/>
      <c r="AH30" s="2175"/>
      <c r="AI30" s="2175"/>
      <c r="AJ30" s="2175"/>
      <c r="AK30" s="2175"/>
      <c r="AL30" s="2175"/>
      <c r="AM30" s="2175"/>
      <c r="AN30" s="2175"/>
      <c r="AO30" s="1171"/>
      <c r="AW30" s="1083">
        <v>54</v>
      </c>
    </row>
    <row r="31" spans="1:49" ht="14.65" customHeight="1">
      <c r="R31" s="314"/>
      <c r="S31" s="314"/>
      <c r="T31" s="314"/>
      <c r="U31" s="2147" t="str">
        <f>IF(org=0,"Не определено",org)</f>
        <v>ООО "Профит"</v>
      </c>
      <c r="V31" s="2147"/>
      <c r="W31" s="2147"/>
      <c r="X31" s="2147"/>
      <c r="Y31" s="2147"/>
      <c r="Z31" s="2147"/>
      <c r="AA31" s="2147"/>
      <c r="AB31" s="2147"/>
      <c r="AC31" s="2147"/>
      <c r="AD31" s="2147"/>
      <c r="AE31" s="2147"/>
      <c r="AF31" s="2147"/>
      <c r="AG31" s="2147"/>
      <c r="AH31" s="2147"/>
      <c r="AI31" s="2147"/>
      <c r="AJ31" s="2147"/>
      <c r="AK31" s="2147"/>
      <c r="AL31" s="2147"/>
      <c r="AM31" s="2147"/>
      <c r="AN31" s="2147"/>
      <c r="AO31" s="1171"/>
      <c r="AW31" s="1083">
        <v>14</v>
      </c>
    </row>
    <row r="32" spans="1:49" ht="14.25" hidden="1"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hidden="1" customHeight="1">
      <c r="A33" s="1176"/>
      <c r="B33" s="1176"/>
      <c r="C33" s="1176"/>
      <c r="D33" s="1176"/>
      <c r="E33" s="1176"/>
      <c r="F33" s="1176"/>
      <c r="G33" s="1176"/>
      <c r="H33" s="1176"/>
      <c r="I33" s="1176"/>
      <c r="J33" s="1176"/>
      <c r="K33" s="1176"/>
      <c r="L33" s="1176"/>
      <c r="M33" s="1308"/>
      <c r="N33" s="1176"/>
      <c r="O33" s="1176"/>
      <c r="P33" s="1176"/>
      <c r="U33" s="2185" t="s">
        <v>42</v>
      </c>
      <c r="V33" s="2185"/>
      <c r="W33" s="1300"/>
      <c r="X33" s="2187" t="str">
        <f>IF(TITLE_NAME_OR_PR_CHANGE="",IF(TITLE_NAME_OR_PR="","",TITLE_NAME_OR_PR),TITLE_NAME_OR_PR_CHANGE)</f>
        <v/>
      </c>
      <c r="Y33" s="2187"/>
      <c r="Z33" s="2187"/>
      <c r="AA33" s="2187"/>
      <c r="AB33" s="2187"/>
      <c r="AC33" s="2187"/>
      <c r="AD33" s="2187"/>
      <c r="AE33" s="2187"/>
      <c r="AF33" s="264"/>
      <c r="AG33" s="2187" t="str">
        <f>IF(TITLE_NAME_OR_PR_CHANGE="",IF(TITLE_NAME_OR_PR="","",TITLE_NAME_OR_PR),TITLE_NAME_OR_PR_CHANGE)</f>
        <v/>
      </c>
      <c r="AH33" s="2187"/>
      <c r="AI33" s="2187"/>
      <c r="AJ33" s="2187"/>
      <c r="AK33" s="2187"/>
      <c r="AL33" s="2187"/>
      <c r="AM33" s="2187"/>
      <c r="AN33" s="2187"/>
      <c r="AO33" s="264"/>
      <c r="AP33" s="264"/>
      <c r="AQ33" s="218"/>
      <c r="AR33" s="306"/>
      <c r="AS33" s="306"/>
      <c r="AT33" s="306"/>
      <c r="AU33" s="306"/>
      <c r="AV33" s="306"/>
      <c r="AW33" s="356">
        <v>0</v>
      </c>
    </row>
    <row r="34" spans="1:49" s="1779" customFormat="1" ht="18.75" hidden="1" customHeight="1">
      <c r="A34" s="1176"/>
      <c r="B34" s="1176"/>
      <c r="C34" s="1176"/>
      <c r="D34" s="1176"/>
      <c r="E34" s="1176"/>
      <c r="F34" s="1176"/>
      <c r="G34" s="1176"/>
      <c r="H34" s="1176"/>
      <c r="I34" s="1176"/>
      <c r="J34" s="1176"/>
      <c r="K34" s="1176"/>
      <c r="L34" s="1176"/>
      <c r="M34" s="1308"/>
      <c r="N34" s="1176"/>
      <c r="O34" s="1176"/>
      <c r="P34" s="1176"/>
      <c r="U34" s="2185" t="s">
        <v>421</v>
      </c>
      <c r="V34" s="2185"/>
      <c r="W34" s="1300"/>
      <c r="X34" s="2186" t="str">
        <f>IF(TITLE_DATE_PR_CHANGE="",IF(TITLE_DATE_PR="","",TITLE_DATE_PR),TITLE_DATE_PR_CHANGE)</f>
        <v/>
      </c>
      <c r="Y34" s="2186"/>
      <c r="Z34" s="2186"/>
      <c r="AA34" s="2186"/>
      <c r="AB34" s="2186"/>
      <c r="AC34" s="2186"/>
      <c r="AD34" s="2186"/>
      <c r="AE34" s="2186"/>
      <c r="AF34" s="264"/>
      <c r="AG34" s="2186" t="str">
        <f>IF(TITLE_DATE_PR_CHANGE="",IF(TITLE_DATE_PR="","",TITLE_DATE_PR),TITLE_DATE_PR_CHANGE)</f>
        <v/>
      </c>
      <c r="AH34" s="2186"/>
      <c r="AI34" s="2186"/>
      <c r="AJ34" s="2186"/>
      <c r="AK34" s="2186"/>
      <c r="AL34" s="2186"/>
      <c r="AM34" s="2186"/>
      <c r="AN34" s="2186"/>
      <c r="AO34" s="264"/>
      <c r="AP34" s="264"/>
      <c r="AQ34" s="218"/>
      <c r="AR34" s="306"/>
      <c r="AS34" s="306"/>
      <c r="AT34" s="306"/>
      <c r="AU34" s="306"/>
      <c r="AV34" s="306"/>
      <c r="AW34" s="356">
        <v>0</v>
      </c>
    </row>
    <row r="35" spans="1:49" s="1779" customFormat="1" ht="18.75" hidden="1" customHeight="1">
      <c r="A35" s="1176"/>
      <c r="B35" s="1176"/>
      <c r="C35" s="1176"/>
      <c r="D35" s="1176"/>
      <c r="E35" s="1176"/>
      <c r="F35" s="1176"/>
      <c r="G35" s="1176"/>
      <c r="H35" s="1176"/>
      <c r="I35" s="1176"/>
      <c r="J35" s="1176"/>
      <c r="K35" s="1176"/>
      <c r="L35" s="1176"/>
      <c r="M35" s="1308"/>
      <c r="N35" s="1176"/>
      <c r="O35" s="1176"/>
      <c r="P35" s="1176"/>
      <c r="U35" s="2185" t="s">
        <v>422</v>
      </c>
      <c r="V35" s="2185"/>
      <c r="W35" s="1300"/>
      <c r="X35" s="2187" t="str">
        <f>IF(TITLE_NUMBER_PR_CHANGE="",IF(TITLE_NUMBER_PR="","",TITLE_NUMBER_PR),TITLE_NUMBER_PR_CHANGE)</f>
        <v/>
      </c>
      <c r="Y35" s="2187"/>
      <c r="Z35" s="2187"/>
      <c r="AA35" s="2187"/>
      <c r="AB35" s="2187"/>
      <c r="AC35" s="2187"/>
      <c r="AD35" s="2187"/>
      <c r="AE35" s="2187"/>
      <c r="AF35" s="264"/>
      <c r="AG35" s="2187" t="str">
        <f>IF(TITLE_NUMBER_PR_CHANGE="",IF(TITLE_NUMBER_PR="","",TITLE_NUMBER_PR),TITLE_NUMBER_PR_CHANGE)</f>
        <v/>
      </c>
      <c r="AH35" s="2187"/>
      <c r="AI35" s="2187"/>
      <c r="AJ35" s="2187"/>
      <c r="AK35" s="2187"/>
      <c r="AL35" s="2187"/>
      <c r="AM35" s="2187"/>
      <c r="AN35" s="2187"/>
      <c r="AO35" s="264"/>
      <c r="AP35" s="264"/>
      <c r="AQ35" s="218"/>
      <c r="AR35" s="306"/>
      <c r="AS35" s="306"/>
      <c r="AT35" s="306"/>
      <c r="AU35" s="306"/>
      <c r="AV35" s="306"/>
      <c r="AW35" s="356">
        <v>0</v>
      </c>
    </row>
    <row r="36" spans="1:49" s="1779" customFormat="1" ht="18.75" hidden="1" customHeight="1">
      <c r="A36" s="1176"/>
      <c r="B36" s="1176"/>
      <c r="C36" s="1176"/>
      <c r="D36" s="1176"/>
      <c r="E36" s="1176"/>
      <c r="F36" s="1176"/>
      <c r="G36" s="1176"/>
      <c r="H36" s="1176"/>
      <c r="I36" s="1176"/>
      <c r="J36" s="1176"/>
      <c r="K36" s="1176"/>
      <c r="L36" s="1176"/>
      <c r="M36" s="1308"/>
      <c r="N36" s="1176"/>
      <c r="O36" s="1176"/>
      <c r="P36" s="1176"/>
      <c r="U36" s="2185" t="s">
        <v>43</v>
      </c>
      <c r="V36" s="2185"/>
      <c r="W36" s="1300"/>
      <c r="X36" s="2187" t="str">
        <f>IF(TITLE_IST_PUB_CHANGE="",IF(TITLE_IST_PUB="","",TITLE_IST_PUB),TITLE_IST_PUB_CHANGE)</f>
        <v/>
      </c>
      <c r="Y36" s="2187"/>
      <c r="Z36" s="2187"/>
      <c r="AA36" s="2187"/>
      <c r="AB36" s="2187"/>
      <c r="AC36" s="2187"/>
      <c r="AD36" s="2187"/>
      <c r="AE36" s="2187"/>
      <c r="AF36" s="264"/>
      <c r="AG36" s="2187" t="str">
        <f>IF(TITLE_IST_PUB_CHANGE="",IF(TITLE_IST_PUB="","",TITLE_IST_PUB),TITLE_IST_PUB_CHANGE)</f>
        <v/>
      </c>
      <c r="AH36" s="2187"/>
      <c r="AI36" s="2187"/>
      <c r="AJ36" s="2187"/>
      <c r="AK36" s="2187"/>
      <c r="AL36" s="2187"/>
      <c r="AM36" s="2187"/>
      <c r="AN36" s="2187"/>
      <c r="AO36" s="264"/>
      <c r="AP36" s="264"/>
      <c r="AQ36" s="218"/>
      <c r="AR36" s="306"/>
      <c r="AS36" s="306"/>
      <c r="AT36" s="306"/>
      <c r="AU36" s="306"/>
      <c r="AV36" s="306"/>
      <c r="AW36" s="356">
        <v>0</v>
      </c>
    </row>
    <row r="37" spans="1:49" ht="14.25" hidden="1"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hidden="1" customHeight="1">
      <c r="A38" s="1176"/>
      <c r="B38" s="1176"/>
      <c r="C38" s="1176"/>
      <c r="D38" s="1176"/>
      <c r="E38" s="1176"/>
      <c r="F38" s="1176"/>
      <c r="G38" s="1176"/>
      <c r="H38" s="1176"/>
      <c r="I38" s="1176"/>
      <c r="J38" s="1176"/>
      <c r="K38" s="1176"/>
      <c r="L38" s="1176"/>
      <c r="M38" s="1308"/>
      <c r="N38" s="1176"/>
      <c r="O38" s="1176"/>
      <c r="P38" s="1176"/>
      <c r="U38" s="2185" t="s">
        <v>423</v>
      </c>
      <c r="V38" s="2185"/>
      <c r="W38" s="1300"/>
      <c r="X38" s="2186" t="str">
        <f>IF(TITLE_DATE_PR_CHANGE="",IF(TITLE_DATE_PR="","",TITLE_DATE_PR),TITLE_DATE_PR_CHANGE)</f>
        <v/>
      </c>
      <c r="Y38" s="2186"/>
      <c r="Z38" s="2186"/>
      <c r="AA38" s="2186"/>
      <c r="AB38" s="2186"/>
      <c r="AC38" s="2186"/>
      <c r="AD38" s="2186"/>
      <c r="AE38" s="2186"/>
      <c r="AF38" s="264"/>
      <c r="AG38" s="2186" t="str">
        <f>IF(TITLE_DATE_PR_CHANGE="",IF(TITLE_DATE_PR="","",TITLE_DATE_PR),TITLE_DATE_PR_CHANGE)</f>
        <v/>
      </c>
      <c r="AH38" s="2186"/>
      <c r="AI38" s="2186"/>
      <c r="AJ38" s="2186"/>
      <c r="AK38" s="2186"/>
      <c r="AL38" s="2186"/>
      <c r="AM38" s="2186"/>
      <c r="AN38" s="2186"/>
      <c r="AO38" s="264"/>
      <c r="AP38" s="264"/>
      <c r="AQ38" s="218"/>
      <c r="AR38" s="306"/>
      <c r="AS38" s="306"/>
      <c r="AT38" s="306"/>
      <c r="AU38" s="306"/>
      <c r="AV38" s="306"/>
      <c r="AW38" s="356">
        <v>0</v>
      </c>
    </row>
    <row r="39" spans="1:49" s="1779" customFormat="1" ht="18.75" hidden="1" customHeight="1">
      <c r="A39" s="1176"/>
      <c r="B39" s="1176"/>
      <c r="C39" s="1176"/>
      <c r="D39" s="1176"/>
      <c r="E39" s="1176"/>
      <c r="F39" s="1176"/>
      <c r="G39" s="1176"/>
      <c r="H39" s="1176"/>
      <c r="I39" s="1176"/>
      <c r="J39" s="1176"/>
      <c r="K39" s="1176"/>
      <c r="L39" s="1176"/>
      <c r="M39" s="1308"/>
      <c r="N39" s="1176"/>
      <c r="O39" s="1176"/>
      <c r="P39" s="1176"/>
      <c r="U39" s="2185" t="s">
        <v>424</v>
      </c>
      <c r="V39" s="2185"/>
      <c r="W39" s="1300"/>
      <c r="X39" s="2187" t="str">
        <f>IF(TITLE_NUMBER_PR_CHANGE="",IF(TITLE_NUMBER_PR="","",TITLE_NUMBER_PR),TITLE_NUMBER_PR_CHANGE)</f>
        <v/>
      </c>
      <c r="Y39" s="2187"/>
      <c r="Z39" s="2187"/>
      <c r="AA39" s="2187"/>
      <c r="AB39" s="2187"/>
      <c r="AC39" s="2187"/>
      <c r="AD39" s="2187"/>
      <c r="AE39" s="2187"/>
      <c r="AF39" s="264"/>
      <c r="AG39" s="2187" t="str">
        <f>IF(TITLE_NUMBER_PR_CHANGE="",IF(TITLE_NUMBER_PR="","",TITLE_NUMBER_PR),TITLE_NUMBER_PR_CHANGE)</f>
        <v/>
      </c>
      <c r="AH39" s="2187"/>
      <c r="AI39" s="2187"/>
      <c r="AJ39" s="2187"/>
      <c r="AK39" s="2187"/>
      <c r="AL39" s="2187"/>
      <c r="AM39" s="2187"/>
      <c r="AN39" s="2187"/>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425</v>
      </c>
      <c r="AG40" s="264"/>
      <c r="AH40" s="264"/>
      <c r="AI40" s="264"/>
      <c r="AJ40" s="264"/>
      <c r="AK40" s="264"/>
      <c r="AL40" s="264"/>
      <c r="AM40" s="264"/>
      <c r="AN40" s="264"/>
      <c r="AO40" s="216" t="s">
        <v>425</v>
      </c>
      <c r="AR40" s="306"/>
      <c r="AS40" s="306"/>
      <c r="AT40" s="306"/>
      <c r="AU40" s="306"/>
      <c r="AV40" s="306"/>
      <c r="AW40" s="356">
        <v>0</v>
      </c>
    </row>
    <row r="41" spans="1:49" ht="14.65" customHeight="1">
      <c r="R41" s="314"/>
      <c r="S41" s="314"/>
      <c r="T41" s="314"/>
      <c r="U41" s="1203"/>
      <c r="V41" s="301"/>
      <c r="W41" s="1172"/>
      <c r="X41" s="2206"/>
      <c r="Y41" s="2206"/>
      <c r="Z41" s="2206"/>
      <c r="AA41" s="2206"/>
      <c r="AB41" s="2206"/>
      <c r="AC41" s="2206"/>
      <c r="AD41" s="2206"/>
      <c r="AE41" s="2206"/>
      <c r="AF41" s="2206"/>
      <c r="AG41" s="2206"/>
      <c r="AH41" s="2206"/>
      <c r="AI41" s="2206"/>
      <c r="AJ41" s="2206"/>
      <c r="AK41" s="2206"/>
      <c r="AL41" s="2206"/>
      <c r="AM41" s="2206"/>
      <c r="AN41" s="2206"/>
      <c r="AO41" s="2206"/>
      <c r="AW41" s="1083">
        <v>14</v>
      </c>
    </row>
    <row r="42" spans="1:49" ht="14.65" customHeight="1">
      <c r="R42" s="314"/>
      <c r="S42" s="314"/>
      <c r="T42" s="314"/>
      <c r="U42" s="2066" t="s">
        <v>298</v>
      </c>
      <c r="V42" s="2066"/>
      <c r="W42" s="2066"/>
      <c r="X42" s="2066"/>
      <c r="Y42" s="2066"/>
      <c r="Z42" s="2066"/>
      <c r="AA42" s="2066"/>
      <c r="AB42" s="2066"/>
      <c r="AC42" s="2066"/>
      <c r="AD42" s="2066"/>
      <c r="AE42" s="2066"/>
      <c r="AF42" s="2066"/>
      <c r="AG42" s="2066"/>
      <c r="AH42" s="2066"/>
      <c r="AI42" s="2066"/>
      <c r="AJ42" s="2066"/>
      <c r="AK42" s="2066"/>
      <c r="AL42" s="2066"/>
      <c r="AM42" s="2066"/>
      <c r="AN42" s="2066"/>
      <c r="AO42" s="2066"/>
      <c r="AP42" s="2066"/>
      <c r="AQ42" s="2066" t="s">
        <v>299</v>
      </c>
      <c r="AW42" s="1083">
        <v>14</v>
      </c>
    </row>
    <row r="43" spans="1:49" ht="14.65" customHeight="1">
      <c r="R43" s="314"/>
      <c r="S43" s="314"/>
      <c r="T43" s="314"/>
      <c r="U43" s="2207" t="s">
        <v>87</v>
      </c>
      <c r="V43" s="2155" t="s">
        <v>426</v>
      </c>
      <c r="W43" s="239"/>
      <c r="X43" s="2208" t="s">
        <v>427</v>
      </c>
      <c r="Y43" s="2224"/>
      <c r="Z43" s="2224"/>
      <c r="AA43" s="2224"/>
      <c r="AB43" s="2224"/>
      <c r="AC43" s="2209"/>
      <c r="AD43" s="2209"/>
      <c r="AE43" s="2210"/>
      <c r="AF43" s="2211" t="s">
        <v>428</v>
      </c>
      <c r="AG43" s="2208" t="s">
        <v>427</v>
      </c>
      <c r="AH43" s="2224"/>
      <c r="AI43" s="2224"/>
      <c r="AJ43" s="2224"/>
      <c r="AK43" s="2224"/>
      <c r="AL43" s="2209"/>
      <c r="AM43" s="2209"/>
      <c r="AN43" s="2210"/>
      <c r="AO43" s="2211" t="s">
        <v>429</v>
      </c>
      <c r="AP43" s="2214" t="s">
        <v>430</v>
      </c>
      <c r="AQ43" s="2066"/>
      <c r="AW43" s="1083">
        <v>14</v>
      </c>
    </row>
    <row r="44" spans="1:49" ht="35.65" customHeight="1">
      <c r="R44" s="314"/>
      <c r="S44" s="314"/>
      <c r="T44" s="314"/>
      <c r="U44" s="2207"/>
      <c r="V44" s="2155"/>
      <c r="W44" s="962"/>
      <c r="X44" s="2126" t="s">
        <v>453</v>
      </c>
      <c r="Y44" s="2066" t="s">
        <v>454</v>
      </c>
      <c r="Z44" s="2066"/>
      <c r="AA44" s="2066"/>
      <c r="AB44" s="2066"/>
      <c r="AC44" s="2126" t="s">
        <v>434</v>
      </c>
      <c r="AD44" s="2236"/>
      <c r="AE44" s="2127"/>
      <c r="AF44" s="2212"/>
      <c r="AG44" s="2126" t="s">
        <v>453</v>
      </c>
      <c r="AH44" s="2066" t="s">
        <v>454</v>
      </c>
      <c r="AI44" s="2066"/>
      <c r="AJ44" s="2066"/>
      <c r="AK44" s="2066"/>
      <c r="AL44" s="2126" t="s">
        <v>434</v>
      </c>
      <c r="AM44" s="2236"/>
      <c r="AN44" s="2127"/>
      <c r="AO44" s="2212"/>
      <c r="AP44" s="2215"/>
      <c r="AQ44" s="2066"/>
      <c r="AW44" s="1083">
        <v>34</v>
      </c>
    </row>
    <row r="45" spans="1:49" ht="14.65" customHeight="1">
      <c r="R45" s="314"/>
      <c r="S45" s="314"/>
      <c r="T45" s="314"/>
      <c r="U45" s="2207"/>
      <c r="V45" s="2155"/>
      <c r="W45" s="962"/>
      <c r="X45" s="2128"/>
      <c r="Y45" s="2161" t="s">
        <v>455</v>
      </c>
      <c r="Z45" s="2160" t="s">
        <v>456</v>
      </c>
      <c r="AA45" s="2173"/>
      <c r="AB45" s="2174"/>
      <c r="AC45" s="2131"/>
      <c r="AD45" s="2237"/>
      <c r="AE45" s="2132"/>
      <c r="AF45" s="2212"/>
      <c r="AG45" s="2128"/>
      <c r="AH45" s="2161" t="s">
        <v>455</v>
      </c>
      <c r="AI45" s="2160" t="s">
        <v>456</v>
      </c>
      <c r="AJ45" s="2173"/>
      <c r="AK45" s="2174"/>
      <c r="AL45" s="2131"/>
      <c r="AM45" s="2237"/>
      <c r="AN45" s="2132"/>
      <c r="AO45" s="2212"/>
      <c r="AP45" s="2215"/>
      <c r="AQ45" s="2066"/>
      <c r="AW45" s="1083">
        <v>14</v>
      </c>
    </row>
    <row r="46" spans="1:49" ht="27.4" customHeight="1">
      <c r="R46" s="314"/>
      <c r="S46" s="314"/>
      <c r="T46" s="314"/>
      <c r="U46" s="2207"/>
      <c r="V46" s="2155"/>
      <c r="W46" s="962"/>
      <c r="X46" s="2128"/>
      <c r="Y46" s="2235"/>
      <c r="Z46" s="2161" t="s">
        <v>457</v>
      </c>
      <c r="AA46" s="2160" t="s">
        <v>458</v>
      </c>
      <c r="AB46" s="2174"/>
      <c r="AC46" s="2161" t="s">
        <v>444</v>
      </c>
      <c r="AD46" s="2165" t="s">
        <v>445</v>
      </c>
      <c r="AE46" s="2163"/>
      <c r="AF46" s="2212"/>
      <c r="AG46" s="2128"/>
      <c r="AH46" s="2235"/>
      <c r="AI46" s="2161" t="s">
        <v>457</v>
      </c>
      <c r="AJ46" s="2160" t="s">
        <v>458</v>
      </c>
      <c r="AK46" s="2174"/>
      <c r="AL46" s="2161" t="s">
        <v>444</v>
      </c>
      <c r="AM46" s="2165" t="s">
        <v>445</v>
      </c>
      <c r="AN46" s="2163"/>
      <c r="AO46" s="2212"/>
      <c r="AP46" s="2215"/>
      <c r="AQ46" s="2066"/>
      <c r="AW46" s="1083">
        <v>26</v>
      </c>
    </row>
    <row r="47" spans="1:49" ht="65.25" customHeight="1">
      <c r="A47" s="1187"/>
      <c r="B47" s="1187" t="s">
        <v>135</v>
      </c>
      <c r="C47" s="1187" t="s">
        <v>136</v>
      </c>
      <c r="D47" s="1187" t="s">
        <v>137</v>
      </c>
      <c r="E47" s="1238" t="s">
        <v>435</v>
      </c>
      <c r="F47" s="1238" t="s">
        <v>436</v>
      </c>
      <c r="G47" s="1238" t="s">
        <v>437</v>
      </c>
      <c r="H47" s="1238" t="s">
        <v>438</v>
      </c>
      <c r="I47" s="1238" t="s">
        <v>439</v>
      </c>
      <c r="J47" s="1238" t="s">
        <v>440</v>
      </c>
      <c r="K47" s="1238" t="s">
        <v>441</v>
      </c>
      <c r="L47" s="1238" t="s">
        <v>459</v>
      </c>
      <c r="M47" s="1238" t="s">
        <v>416</v>
      </c>
      <c r="R47" s="314"/>
      <c r="S47" s="314"/>
      <c r="T47" s="314"/>
      <c r="U47" s="2207"/>
      <c r="V47" s="2155"/>
      <c r="W47" s="240"/>
      <c r="X47" s="2131"/>
      <c r="Y47" s="2162"/>
      <c r="Z47" s="2162"/>
      <c r="AA47" s="1150" t="s">
        <v>460</v>
      </c>
      <c r="AB47" s="1150" t="s">
        <v>461</v>
      </c>
      <c r="AC47" s="2162"/>
      <c r="AD47" s="2166"/>
      <c r="AE47" s="2164"/>
      <c r="AF47" s="2213"/>
      <c r="AG47" s="2131"/>
      <c r="AH47" s="2162"/>
      <c r="AI47" s="2162"/>
      <c r="AJ47" s="1150" t="s">
        <v>460</v>
      </c>
      <c r="AK47" s="1150" t="s">
        <v>461</v>
      </c>
      <c r="AL47" s="2162"/>
      <c r="AM47" s="2166"/>
      <c r="AN47" s="2164"/>
      <c r="AO47" s="2213"/>
      <c r="AP47" s="2216"/>
      <c r="AQ47" s="2066"/>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108</v>
      </c>
      <c r="V48" s="1183" t="s">
        <v>109</v>
      </c>
      <c r="W48" s="1173" t="str">
        <f ca="1">OFFSET(W48,0,-1)</f>
        <v>2</v>
      </c>
      <c r="X48" s="1263">
        <f ca="1">OFFSET(X48,0,-1)+1</f>
        <v>3</v>
      </c>
      <c r="Y48" s="1269"/>
      <c r="Z48" s="1269"/>
      <c r="AA48" s="1269">
        <f ca="1">OFFSET(AA48,0,-1)+1</f>
        <v>1</v>
      </c>
      <c r="AB48" s="1269">
        <f ca="1">OFFSET(AB48,0,-1)+1</f>
        <v>2</v>
      </c>
      <c r="AC48" s="1263">
        <f ca="1">OFFSET(AC48,0,-1)+1</f>
        <v>3</v>
      </c>
      <c r="AD48" s="2205">
        <f ca="1">OFFSET(AD48,0,-1)+1</f>
        <v>4</v>
      </c>
      <c r="AE48" s="2205"/>
      <c r="AF48" s="1263">
        <f ca="1">OFFSET(AF48,0,-2)+1</f>
        <v>5</v>
      </c>
      <c r="AG48" s="1263">
        <f ca="1">OFFSET(AG48,0,-1)+1</f>
        <v>6</v>
      </c>
      <c r="AH48" s="1263"/>
      <c r="AI48" s="1263"/>
      <c r="AJ48" s="1263">
        <f ca="1">OFFSET(AJ48,0,-1)+1</f>
        <v>1</v>
      </c>
      <c r="AK48" s="1263">
        <f ca="1">OFFSET(AK48,0,-1)+1</f>
        <v>2</v>
      </c>
      <c r="AL48" s="1263">
        <f ca="1">OFFSET(AL48,0,-1)+1</f>
        <v>3</v>
      </c>
      <c r="AM48" s="2205">
        <f ca="1">OFFSET(AM48,0,-1)+1</f>
        <v>4</v>
      </c>
      <c r="AN48" s="2205"/>
      <c r="AO48" s="1263">
        <f ca="1">OFFSET(AO48,0,-2)+1</f>
        <v>5</v>
      </c>
      <c r="AP48" s="1173">
        <f ca="1">OFFSET(AP48,0,-1)</f>
        <v>5</v>
      </c>
      <c r="AQ48" s="1263">
        <f ca="1">OFFSET(AQ48,0,-1)+1</f>
        <v>6</v>
      </c>
      <c r="AR48" s="449"/>
      <c r="AS48" s="449"/>
      <c r="AT48" s="449"/>
      <c r="AU48" s="449"/>
      <c r="AV48" s="449"/>
      <c r="AW48" s="434">
        <v>0</v>
      </c>
    </row>
    <row r="49" spans="1:49" ht="21.95" customHeight="1">
      <c r="A49" s="1195" t="s">
        <v>174</v>
      </c>
      <c r="B49" s="1195"/>
      <c r="C49" s="1195"/>
      <c r="D49" s="1195"/>
      <c r="E49" s="2220">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123</v>
      </c>
      <c r="W49" s="238"/>
      <c r="X49" s="2188"/>
      <c r="Y49" s="2189"/>
      <c r="Z49" s="2189"/>
      <c r="AA49" s="2189"/>
      <c r="AB49" s="2189"/>
      <c r="AC49" s="2189"/>
      <c r="AD49" s="2189"/>
      <c r="AE49" s="2189"/>
      <c r="AF49" s="2190"/>
      <c r="AG49" s="2188" t="str">
        <f>INDEX(PT_DIFFERENTIATION_NTAR,MATCH(A49,PT_DIFFERENTIATION_NTAR_ID,0))</f>
        <v/>
      </c>
      <c r="AH49" s="2189"/>
      <c r="AI49" s="2189"/>
      <c r="AJ49" s="2189"/>
      <c r="AK49" s="2189"/>
      <c r="AL49" s="2189"/>
      <c r="AM49" s="2189"/>
      <c r="AN49" s="2189"/>
      <c r="AO49" s="2189"/>
      <c r="AP49" s="2190"/>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3">
        <v>21</v>
      </c>
    </row>
    <row r="50" spans="1:49" ht="21.95" customHeight="1">
      <c r="A50" s="1195" t="s">
        <v>174</v>
      </c>
      <c r="B50" s="1195" t="s">
        <v>175</v>
      </c>
      <c r="C50" s="1195"/>
      <c r="D50" s="1195"/>
      <c r="E50" s="2221"/>
      <c r="F50" s="2220">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395</v>
      </c>
      <c r="W50" s="238"/>
      <c r="X50" s="2188"/>
      <c r="Y50" s="2189"/>
      <c r="Z50" s="2189"/>
      <c r="AA50" s="2189"/>
      <c r="AB50" s="2189"/>
      <c r="AC50" s="2189"/>
      <c r="AD50" s="2189"/>
      <c r="AE50" s="2189"/>
      <c r="AF50" s="2190"/>
      <c r="AG50" s="2188" t="str">
        <f>INDEX(PT_DIFFERENTIATION_TER,MATCH(B50,PT_DIFFERENTIATION_TER_ID,0))</f>
        <v/>
      </c>
      <c r="AH50" s="2189"/>
      <c r="AI50" s="2189"/>
      <c r="AJ50" s="2189"/>
      <c r="AK50" s="2189"/>
      <c r="AL50" s="2189"/>
      <c r="AM50" s="2189"/>
      <c r="AN50" s="2189"/>
      <c r="AO50" s="2189"/>
      <c r="AP50" s="2190"/>
      <c r="AQ50" s="1186" t="s">
        <v>396</v>
      </c>
      <c r="AS50" s="438"/>
      <c r="AT50" s="438" t="str">
        <f t="shared" si="2"/>
        <v>Территория действия тарифа</v>
      </c>
      <c r="AU50" s="438"/>
      <c r="AV50" s="438"/>
      <c r="AW50" s="1083">
        <v>21</v>
      </c>
    </row>
    <row r="51" spans="1:49" ht="24" customHeight="1">
      <c r="A51" s="1195" t="s">
        <v>174</v>
      </c>
      <c r="B51" s="1195" t="s">
        <v>175</v>
      </c>
      <c r="C51" s="1195" t="s">
        <v>176</v>
      </c>
      <c r="D51" s="1195"/>
      <c r="E51" s="2221"/>
      <c r="F51" s="2221"/>
      <c r="G51" s="2220">
        <v>1</v>
      </c>
      <c r="H51" s="1195"/>
      <c r="I51" s="1195"/>
      <c r="J51" s="1195"/>
      <c r="K51" s="1195"/>
      <c r="L51" s="1195"/>
      <c r="M51" s="1238"/>
      <c r="N51" s="626"/>
      <c r="O51" s="626"/>
      <c r="P51" s="626"/>
      <c r="Q51" s="292"/>
      <c r="R51" s="290"/>
      <c r="S51" s="447"/>
      <c r="T51" s="291"/>
      <c r="U51" s="1264" t="str">
        <f>INDEX(PT_DIFFERENTIATION_NUM_CS,MATCH(C51,PT_DIFFERENTIATION_CS_ID,0))</f>
        <v>..</v>
      </c>
      <c r="V51" s="247" t="s">
        <v>397</v>
      </c>
      <c r="W51" s="238"/>
      <c r="X51" s="2188"/>
      <c r="Y51" s="2189"/>
      <c r="Z51" s="2189"/>
      <c r="AA51" s="2189"/>
      <c r="AB51" s="2189"/>
      <c r="AC51" s="2189"/>
      <c r="AD51" s="2189"/>
      <c r="AE51" s="2189"/>
      <c r="AF51" s="2190"/>
      <c r="AG51" s="2188" t="str">
        <f>INDEX(PT_DIFFERENTIATION_CS,MATCH(C51,PT_DIFFERENTIATION_CS_ID,0))</f>
        <v/>
      </c>
      <c r="AH51" s="2189"/>
      <c r="AI51" s="2189"/>
      <c r="AJ51" s="2189"/>
      <c r="AK51" s="2189"/>
      <c r="AL51" s="2189"/>
      <c r="AM51" s="2189"/>
      <c r="AN51" s="2189"/>
      <c r="AO51" s="2189"/>
      <c r="AP51" s="2190"/>
      <c r="AQ51" s="1186" t="s">
        <v>398</v>
      </c>
      <c r="AS51" s="438"/>
      <c r="AT51" s="438" t="str">
        <f t="shared" si="2"/>
        <v xml:space="preserve">Наименование системы теплоснабжения </v>
      </c>
      <c r="AU51" s="438"/>
      <c r="AV51" s="438"/>
      <c r="AW51" s="1083">
        <v>23</v>
      </c>
    </row>
    <row r="52" spans="1:49" ht="21.95" customHeight="1">
      <c r="A52" s="1195" t="s">
        <v>174</v>
      </c>
      <c r="B52" s="1195" t="s">
        <v>175</v>
      </c>
      <c r="C52" s="1195" t="s">
        <v>176</v>
      </c>
      <c r="D52" s="1195" t="s">
        <v>177</v>
      </c>
      <c r="E52" s="2221"/>
      <c r="F52" s="2221"/>
      <c r="G52" s="2221"/>
      <c r="H52" s="2220">
        <v>1</v>
      </c>
      <c r="I52" s="1195"/>
      <c r="J52" s="1195"/>
      <c r="K52" s="1195"/>
      <c r="L52" s="1195"/>
      <c r="M52" s="1238"/>
      <c r="N52" s="626"/>
      <c r="O52" s="626"/>
      <c r="P52" s="626"/>
      <c r="Q52" s="292"/>
      <c r="R52" s="290"/>
      <c r="S52" s="447"/>
      <c r="T52" s="291"/>
      <c r="U52" s="1264" t="str">
        <f>INDEX(PT_DIFFERENTIATION_NUM_IST_TE,MATCH(D52,PT_DIFFERENTIATION_IST_TE_ID,0))</f>
        <v>...</v>
      </c>
      <c r="V52" s="248" t="s">
        <v>399</v>
      </c>
      <c r="W52" s="238"/>
      <c r="X52" s="2188"/>
      <c r="Y52" s="2189"/>
      <c r="Z52" s="2189"/>
      <c r="AA52" s="2189"/>
      <c r="AB52" s="2189"/>
      <c r="AC52" s="2189"/>
      <c r="AD52" s="2189"/>
      <c r="AE52" s="2189"/>
      <c r="AF52" s="2190"/>
      <c r="AG52" s="2188" t="str">
        <f>INDEX(PT_DIFFERENTIATION_IST_TE,MATCH(D52,PT_DIFFERENTIATION_IST_TE_ID,0))</f>
        <v/>
      </c>
      <c r="AH52" s="2189"/>
      <c r="AI52" s="2189"/>
      <c r="AJ52" s="2189"/>
      <c r="AK52" s="2189"/>
      <c r="AL52" s="2189"/>
      <c r="AM52" s="2189"/>
      <c r="AN52" s="2189"/>
      <c r="AO52" s="2189"/>
      <c r="AP52" s="2190"/>
      <c r="AQ52" s="1186" t="s">
        <v>400</v>
      </c>
      <c r="AS52" s="438"/>
      <c r="AT52" s="438" t="str">
        <f t="shared" si="2"/>
        <v xml:space="preserve">Источник тепловой энергии  </v>
      </c>
      <c r="AU52" s="438"/>
      <c r="AV52" s="438"/>
      <c r="AW52" s="1083">
        <v>21</v>
      </c>
    </row>
    <row r="53" spans="1:49" s="1570" customFormat="1" ht="0" hidden="1" customHeight="1">
      <c r="A53" s="1303" t="s">
        <v>174</v>
      </c>
      <c r="B53" s="1303" t="s">
        <v>175</v>
      </c>
      <c r="C53" s="1303" t="s">
        <v>176</v>
      </c>
      <c r="D53" s="1303" t="s">
        <v>177</v>
      </c>
      <c r="E53" s="2221"/>
      <c r="F53" s="2221"/>
      <c r="G53" s="2221"/>
      <c r="H53" s="2221"/>
      <c r="I53" s="2066" t="str">
        <f>U52&amp;".1"</f>
        <v>....1</v>
      </c>
      <c r="J53" s="1303"/>
      <c r="K53" s="1303"/>
      <c r="L53" s="1303"/>
      <c r="M53" s="1309" t="s">
        <v>401</v>
      </c>
      <c r="N53" s="1174"/>
      <c r="O53" s="1174"/>
      <c r="P53" s="1174"/>
      <c r="Q53" s="2198">
        <v>1</v>
      </c>
      <c r="R53" s="1259"/>
      <c r="S53" s="1259"/>
      <c r="T53" s="294"/>
      <c r="U53" s="973"/>
      <c r="V53" s="1311"/>
      <c r="W53" s="1312"/>
      <c r="X53" s="2225"/>
      <c r="Y53" s="2226"/>
      <c r="Z53" s="2226"/>
      <c r="AA53" s="2226"/>
      <c r="AB53" s="2226"/>
      <c r="AC53" s="2226"/>
      <c r="AD53" s="2226"/>
      <c r="AE53" s="2226"/>
      <c r="AF53" s="2227"/>
      <c r="AG53" s="2225"/>
      <c r="AH53" s="2226"/>
      <c r="AI53" s="2226"/>
      <c r="AJ53" s="2226"/>
      <c r="AK53" s="2226"/>
      <c r="AL53" s="2226"/>
      <c r="AM53" s="2226"/>
      <c r="AN53" s="2226"/>
      <c r="AO53" s="2226"/>
      <c r="AP53" s="2227"/>
      <c r="AQ53" s="1313"/>
      <c r="AS53" s="438"/>
      <c r="AT53" s="438" t="str">
        <f t="shared" si="2"/>
        <v/>
      </c>
      <c r="AU53" s="438"/>
      <c r="AV53" s="438"/>
      <c r="AW53" s="449">
        <v>0</v>
      </c>
    </row>
    <row r="54" spans="1:49" ht="21.95" customHeight="1">
      <c r="A54" s="1195" t="s">
        <v>174</v>
      </c>
      <c r="B54" s="1195" t="s">
        <v>175</v>
      </c>
      <c r="C54" s="1195" t="s">
        <v>176</v>
      </c>
      <c r="D54" s="1195" t="s">
        <v>177</v>
      </c>
      <c r="E54" s="2221"/>
      <c r="F54" s="2221"/>
      <c r="G54" s="2221"/>
      <c r="H54" s="2221"/>
      <c r="I54" s="2048"/>
      <c r="J54" s="2066" t="str">
        <f>I53&amp;".1"</f>
        <v>....1.1</v>
      </c>
      <c r="K54" s="1195"/>
      <c r="L54" s="1195"/>
      <c r="M54" s="1238" t="s">
        <v>404</v>
      </c>
      <c r="Q54" s="2198"/>
      <c r="R54" s="2198">
        <v>1</v>
      </c>
      <c r="S54" s="456"/>
      <c r="T54" s="295"/>
      <c r="U54" s="1264" t="str">
        <f>$J54</f>
        <v>....1.1</v>
      </c>
      <c r="V54" s="224" t="s">
        <v>405</v>
      </c>
      <c r="W54" s="238"/>
      <c r="X54" s="2182"/>
      <c r="Y54" s="2183"/>
      <c r="Z54" s="2183"/>
      <c r="AA54" s="2183"/>
      <c r="AB54" s="2183"/>
      <c r="AC54" s="2178"/>
      <c r="AD54" s="2178"/>
      <c r="AE54" s="2178"/>
      <c r="AF54" s="2238"/>
      <c r="AG54" s="2182"/>
      <c r="AH54" s="2183"/>
      <c r="AI54" s="2183"/>
      <c r="AJ54" s="2183"/>
      <c r="AK54" s="2183"/>
      <c r="AL54" s="2183"/>
      <c r="AM54" s="2183"/>
      <c r="AN54" s="2183"/>
      <c r="AO54" s="2183"/>
      <c r="AP54" s="2184"/>
      <c r="AQ54" s="1186" t="s">
        <v>406</v>
      </c>
      <c r="AS54" s="438"/>
      <c r="AT54" s="438" t="str">
        <f t="shared" si="2"/>
        <v>Группа потребителей</v>
      </c>
      <c r="AU54" s="438"/>
      <c r="AV54" s="438"/>
      <c r="AW54" s="1083">
        <v>21</v>
      </c>
    </row>
    <row r="55" spans="1:49" ht="21.95" customHeight="1">
      <c r="A55" s="1195" t="s">
        <v>174</v>
      </c>
      <c r="B55" s="1195" t="s">
        <v>175</v>
      </c>
      <c r="C55" s="1195" t="s">
        <v>176</v>
      </c>
      <c r="D55" s="1195" t="s">
        <v>177</v>
      </c>
      <c r="E55" s="2221"/>
      <c r="F55" s="2221"/>
      <c r="G55" s="2221"/>
      <c r="H55" s="2221"/>
      <c r="I55" s="2048"/>
      <c r="J55" s="2048"/>
      <c r="K55" s="2066" t="str">
        <f>J54&amp;".1"</f>
        <v>....1.1.1</v>
      </c>
      <c r="L55" s="78"/>
      <c r="M55" s="1238" t="s">
        <v>407</v>
      </c>
      <c r="Q55" s="2198"/>
      <c r="R55" s="2198"/>
      <c r="S55" s="456">
        <v>1</v>
      </c>
      <c r="T55" s="295"/>
      <c r="U55" s="1264" t="str">
        <f>$K55</f>
        <v>....1.1.1</v>
      </c>
      <c r="V55" s="1275"/>
      <c r="W55" s="238"/>
      <c r="X55" s="689"/>
      <c r="Y55" s="689"/>
      <c r="Z55" s="689"/>
      <c r="AA55" s="689"/>
      <c r="AB55" s="1333"/>
      <c r="AC55" s="2199"/>
      <c r="AD55" s="2076" t="s">
        <v>65</v>
      </c>
      <c r="AE55" s="2199"/>
      <c r="AF55" s="2076" t="s">
        <v>65</v>
      </c>
      <c r="AG55" s="1335"/>
      <c r="AH55" s="689"/>
      <c r="AI55" s="689"/>
      <c r="AJ55" s="689"/>
      <c r="AK55" s="1185"/>
      <c r="AL55" s="2199"/>
      <c r="AM55" s="2076" t="s">
        <v>65</v>
      </c>
      <c r="AN55" s="2199"/>
      <c r="AO55" s="2076" t="s">
        <v>65</v>
      </c>
      <c r="AP55" s="1276"/>
      <c r="AQ55" s="1235" t="s">
        <v>450</v>
      </c>
      <c r="AR55" s="449" t="e">
        <f ca="1">STRCHECKDATE(X57:AP57)</f>
        <v>#NAME?</v>
      </c>
      <c r="AS55" s="438"/>
      <c r="AT55" s="438" t="str">
        <f t="shared" si="2"/>
        <v/>
      </c>
      <c r="AU55" s="438"/>
      <c r="AV55" s="438"/>
      <c r="AW55" s="1083">
        <v>21</v>
      </c>
    </row>
    <row r="56" spans="1:49" ht="11.45" customHeight="1">
      <c r="A56" s="1195" t="s">
        <v>174</v>
      </c>
      <c r="B56" s="1195" t="s">
        <v>175</v>
      </c>
      <c r="C56" s="1195" t="s">
        <v>176</v>
      </c>
      <c r="D56" s="1195" t="s">
        <v>177</v>
      </c>
      <c r="E56" s="2221"/>
      <c r="F56" s="2221"/>
      <c r="G56" s="2221"/>
      <c r="H56" s="2221"/>
      <c r="I56" s="2048"/>
      <c r="J56" s="2048"/>
      <c r="K56" s="2048"/>
      <c r="L56" s="2066" t="str">
        <f>K55&amp;".1"</f>
        <v>....1.1.1.1</v>
      </c>
      <c r="M56" s="1238"/>
      <c r="Q56" s="2198"/>
      <c r="R56" s="2198"/>
      <c r="S56" s="456">
        <v>1</v>
      </c>
      <c r="T56" s="295"/>
      <c r="U56" s="1264" t="str">
        <f>$L56</f>
        <v>....1.1.1.1</v>
      </c>
      <c r="V56" s="1319"/>
      <c r="W56" s="238"/>
      <c r="X56" s="263"/>
      <c r="Y56" s="689"/>
      <c r="Z56" s="689"/>
      <c r="AA56" s="689"/>
      <c r="AB56" s="1333"/>
      <c r="AC56" s="2200"/>
      <c r="AD56" s="2076"/>
      <c r="AE56" s="2200"/>
      <c r="AF56" s="2076"/>
      <c r="AG56" s="1335"/>
      <c r="AH56" s="689"/>
      <c r="AI56" s="689"/>
      <c r="AJ56" s="689"/>
      <c r="AK56" s="1185"/>
      <c r="AL56" s="2200"/>
      <c r="AM56" s="2076"/>
      <c r="AN56" s="2200"/>
      <c r="AO56" s="2076"/>
      <c r="AP56" s="1276"/>
      <c r="AQ56" s="2217" t="s">
        <v>451</v>
      </c>
      <c r="AR56" s="449" t="e">
        <f ca="1">STRCHECKDATE(X58:AP58)</f>
        <v>#NAME?</v>
      </c>
      <c r="AS56" s="438"/>
      <c r="AT56" s="438" t="str">
        <f t="shared" si="2"/>
        <v/>
      </c>
      <c r="AU56" s="438"/>
      <c r="AV56" s="438"/>
      <c r="AW56" s="1083">
        <v>11</v>
      </c>
    </row>
    <row r="57" spans="1:49" ht="0" hidden="1" customHeight="1">
      <c r="A57" s="1195" t="s">
        <v>174</v>
      </c>
      <c r="B57" s="1195" t="s">
        <v>175</v>
      </c>
      <c r="C57" s="1195" t="s">
        <v>176</v>
      </c>
      <c r="D57" s="1195" t="s">
        <v>177</v>
      </c>
      <c r="E57" s="2221"/>
      <c r="F57" s="2221"/>
      <c r="G57" s="2221"/>
      <c r="H57" s="2221"/>
      <c r="I57" s="2048"/>
      <c r="J57" s="2048"/>
      <c r="K57" s="2048"/>
      <c r="L57" s="2066"/>
      <c r="M57" s="1238"/>
      <c r="Q57" s="2198"/>
      <c r="R57" s="2198"/>
      <c r="S57" s="456"/>
      <c r="T57" s="295"/>
      <c r="U57" s="1270"/>
      <c r="V57" s="238"/>
      <c r="W57" s="238"/>
      <c r="X57" s="263"/>
      <c r="Y57" s="263"/>
      <c r="Z57" s="263"/>
      <c r="AA57" s="263"/>
      <c r="AB57" s="1334" t="str">
        <f>AC55&amp;"-"&amp;AE55</f>
        <v>-</v>
      </c>
      <c r="AC57" s="2200"/>
      <c r="AD57" s="2076"/>
      <c r="AE57" s="2200"/>
      <c r="AF57" s="2076"/>
      <c r="AG57" s="1310"/>
      <c r="AH57" s="263"/>
      <c r="AI57" s="263"/>
      <c r="AJ57" s="263"/>
      <c r="AK57" s="266" t="str">
        <f>AL55&amp;"-"&amp;AN55</f>
        <v>-</v>
      </c>
      <c r="AL57" s="2200"/>
      <c r="AM57" s="2076"/>
      <c r="AN57" s="2200"/>
      <c r="AO57" s="2076"/>
      <c r="AP57" s="1277"/>
      <c r="AQ57" s="2218"/>
      <c r="AS57" s="438"/>
      <c r="AT57" s="438" t="str">
        <f t="shared" si="2"/>
        <v/>
      </c>
      <c r="AU57" s="438"/>
      <c r="AV57" s="438"/>
      <c r="AW57" s="1083">
        <v>0</v>
      </c>
    </row>
    <row r="58" spans="1:49" ht="11.45" customHeight="1">
      <c r="A58" s="1195" t="s">
        <v>174</v>
      </c>
      <c r="B58" s="1195" t="s">
        <v>175</v>
      </c>
      <c r="C58" s="1195" t="s">
        <v>176</v>
      </c>
      <c r="D58" s="1195" t="s">
        <v>177</v>
      </c>
      <c r="E58" s="2221"/>
      <c r="F58" s="2221"/>
      <c r="G58" s="2221"/>
      <c r="H58" s="2221"/>
      <c r="I58" s="2048"/>
      <c r="J58" s="2048"/>
      <c r="K58" s="2066"/>
      <c r="L58" s="1195"/>
      <c r="M58" s="1238"/>
      <c r="Q58" s="2198"/>
      <c r="R58" s="2198"/>
      <c r="S58" s="1259"/>
      <c r="T58" s="294"/>
      <c r="U58" s="1206"/>
      <c r="V58" s="226" t="s">
        <v>452</v>
      </c>
      <c r="W58" s="305"/>
      <c r="X58" s="305"/>
      <c r="Y58" s="305"/>
      <c r="Z58" s="305"/>
      <c r="AA58" s="305"/>
      <c r="AB58" s="305"/>
      <c r="AC58" s="2200"/>
      <c r="AD58" s="2076"/>
      <c r="AE58" s="2200"/>
      <c r="AF58" s="2076"/>
      <c r="AG58" s="305"/>
      <c r="AH58" s="305"/>
      <c r="AI58" s="305"/>
      <c r="AJ58" s="305"/>
      <c r="AK58" s="305"/>
      <c r="AL58" s="2200"/>
      <c r="AM58" s="2076"/>
      <c r="AN58" s="2200"/>
      <c r="AO58" s="2076"/>
      <c r="AP58" s="262"/>
      <c r="AQ58" s="2218"/>
      <c r="AS58" s="438"/>
      <c r="AT58" s="438" t="str">
        <f t="shared" si="2"/>
        <v>Добавить наименование поставщика</v>
      </c>
      <c r="AU58" s="438"/>
      <c r="AV58" s="438"/>
      <c r="AW58" s="1083">
        <v>11</v>
      </c>
    </row>
    <row r="59" spans="1:49" ht="11.45" customHeight="1">
      <c r="A59" s="1195" t="s">
        <v>174</v>
      </c>
      <c r="B59" s="1195" t="s">
        <v>175</v>
      </c>
      <c r="C59" s="1195" t="s">
        <v>176</v>
      </c>
      <c r="D59" s="1195" t="s">
        <v>177</v>
      </c>
      <c r="E59" s="2221"/>
      <c r="F59" s="2221"/>
      <c r="G59" s="2221"/>
      <c r="H59" s="2221"/>
      <c r="I59" s="2048"/>
      <c r="J59" s="2066"/>
      <c r="K59" s="1195"/>
      <c r="L59" s="1195"/>
      <c r="M59" s="1238"/>
      <c r="Q59" s="2198"/>
      <c r="R59" s="2198"/>
      <c r="S59" s="1259"/>
      <c r="T59" s="294"/>
      <c r="U59" s="1206"/>
      <c r="V59" s="225" t="s">
        <v>409</v>
      </c>
      <c r="W59" s="305"/>
      <c r="X59" s="305"/>
      <c r="Y59" s="305"/>
      <c r="Z59" s="305"/>
      <c r="AA59" s="305"/>
      <c r="AB59" s="305"/>
      <c r="AC59" s="1336"/>
      <c r="AD59" s="1336"/>
      <c r="AE59" s="1336"/>
      <c r="AF59" s="1336"/>
      <c r="AG59" s="305"/>
      <c r="AH59" s="305"/>
      <c r="AI59" s="305"/>
      <c r="AJ59" s="305"/>
      <c r="AK59" s="305"/>
      <c r="AL59" s="305"/>
      <c r="AM59" s="305"/>
      <c r="AN59" s="305"/>
      <c r="AO59" s="305"/>
      <c r="AP59" s="262"/>
      <c r="AQ59" s="2219"/>
      <c r="AS59" s="438"/>
      <c r="AT59" s="438" t="str">
        <f t="shared" si="2"/>
        <v>Добавить вид теплоносителя (параметры теплоносителя)</v>
      </c>
      <c r="AU59" s="438"/>
      <c r="AV59" s="438"/>
      <c r="AW59" s="1083">
        <v>11</v>
      </c>
    </row>
    <row r="60" spans="1:49" ht="11.45" customHeight="1">
      <c r="A60" s="1195" t="s">
        <v>174</v>
      </c>
      <c r="B60" s="1195" t="s">
        <v>175</v>
      </c>
      <c r="C60" s="1195" t="s">
        <v>176</v>
      </c>
      <c r="D60" s="1195" t="s">
        <v>177</v>
      </c>
      <c r="E60" s="2221"/>
      <c r="F60" s="2221"/>
      <c r="G60" s="2221"/>
      <c r="H60" s="2221"/>
      <c r="I60" s="2066"/>
      <c r="J60" s="1195"/>
      <c r="K60" s="1195"/>
      <c r="L60" s="1195"/>
      <c r="M60" s="1238"/>
      <c r="Q60" s="2198"/>
      <c r="R60" s="1259"/>
      <c r="S60" s="1259"/>
      <c r="T60" s="294"/>
      <c r="U60" s="1206"/>
      <c r="V60" s="303" t="s">
        <v>410</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174</v>
      </c>
      <c r="B61" s="1195" t="s">
        <v>175</v>
      </c>
      <c r="C61" s="1195" t="s">
        <v>176</v>
      </c>
      <c r="D61" s="1195" t="s">
        <v>177</v>
      </c>
      <c r="E61" s="2221"/>
      <c r="F61" s="2221"/>
      <c r="G61" s="2221"/>
      <c r="H61" s="2220"/>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174</v>
      </c>
      <c r="B62" s="1303" t="s">
        <v>175</v>
      </c>
      <c r="C62" s="1303" t="s">
        <v>176</v>
      </c>
      <c r="D62" s="1302"/>
      <c r="E62" s="2221"/>
      <c r="F62" s="2221"/>
      <c r="G62" s="2220"/>
      <c r="H62" s="1302"/>
      <c r="I62" s="1302"/>
      <c r="J62" s="1302"/>
      <c r="K62" s="1302"/>
      <c r="L62" s="1302"/>
      <c r="M62" s="1305"/>
      <c r="N62" s="1306"/>
      <c r="O62" s="1306"/>
      <c r="P62" s="289"/>
      <c r="Q62" s="1244"/>
      <c r="R62" s="1245"/>
      <c r="S62" s="1244"/>
      <c r="T62" s="1244"/>
      <c r="U62" s="1250"/>
      <c r="V62" s="1253" t="s">
        <v>412</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174</v>
      </c>
      <c r="B63" s="1303" t="s">
        <v>175</v>
      </c>
      <c r="C63" s="1302"/>
      <c r="D63" s="1302"/>
      <c r="E63" s="2221"/>
      <c r="F63" s="2220"/>
      <c r="G63" s="1302"/>
      <c r="H63" s="1302"/>
      <c r="I63" s="1302"/>
      <c r="J63" s="1302"/>
      <c r="K63" s="1302"/>
      <c r="L63" s="1302"/>
      <c r="M63" s="1305"/>
      <c r="N63" s="1307"/>
      <c r="O63" s="1307"/>
      <c r="P63" s="289"/>
      <c r="Q63" s="1244"/>
      <c r="R63" s="1245"/>
      <c r="S63" s="1244"/>
      <c r="T63" s="1244"/>
      <c r="U63" s="1250"/>
      <c r="V63" s="1253" t="s">
        <v>413</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174</v>
      </c>
      <c r="B64" s="1303"/>
      <c r="C64" s="1303"/>
      <c r="D64" s="1303"/>
      <c r="E64" s="2220"/>
      <c r="F64" s="1303"/>
      <c r="G64" s="1303"/>
      <c r="H64" s="1303"/>
      <c r="I64" s="1303"/>
      <c r="J64" s="1303"/>
      <c r="K64" s="1303"/>
      <c r="L64" s="1303"/>
      <c r="M64" s="1309"/>
      <c r="N64" s="1307"/>
      <c r="O64" s="1307"/>
      <c r="P64" s="289"/>
      <c r="Q64" s="318"/>
      <c r="R64" s="1272"/>
      <c r="S64" s="318"/>
      <c r="T64" s="318"/>
      <c r="U64" s="1250"/>
      <c r="V64" s="1253" t="s">
        <v>414</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1500000000000004"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446</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45" customHeight="1">
      <c r="N66" s="1083"/>
      <c r="O66" s="1083"/>
      <c r="P66" s="447"/>
      <c r="Q66" s="1083"/>
      <c r="R66" s="1083"/>
      <c r="S66" s="1083"/>
      <c r="T66" s="1083"/>
      <c r="U66" s="1083"/>
      <c r="AR66" s="1083"/>
      <c r="AS66" s="1083"/>
      <c r="AT66" s="1083"/>
      <c r="AU66" s="1083"/>
      <c r="AV66" s="1083"/>
      <c r="AW66" s="1083">
        <v>11</v>
      </c>
    </row>
    <row r="67" spans="1:49" ht="35.65" customHeight="1">
      <c r="P67" s="447"/>
      <c r="U67" s="1181"/>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W67" s="1083">
        <v>34</v>
      </c>
    </row>
    <row r="68" spans="1:49" ht="21" customHeight="1">
      <c r="P68" s="447"/>
      <c r="V68" s="2193"/>
      <c r="W68" s="2193"/>
      <c r="X68" s="2193"/>
      <c r="Y68" s="2193"/>
      <c r="Z68" s="2193"/>
      <c r="AA68" s="2193"/>
      <c r="AB68" s="2193"/>
      <c r="AC68" s="2193"/>
      <c r="AD68" s="2193"/>
      <c r="AE68" s="2193"/>
      <c r="AF68" s="2193"/>
      <c r="AG68" s="2193"/>
      <c r="AH68" s="2193"/>
      <c r="AI68" s="2193"/>
      <c r="AJ68" s="2193"/>
      <c r="AK68" s="2193"/>
      <c r="AL68" s="2193"/>
      <c r="AM68" s="2193"/>
      <c r="AN68" s="2193"/>
      <c r="AO68" s="2193"/>
      <c r="AP68" s="2193"/>
      <c r="AQ68" s="2193"/>
      <c r="AW68" s="1083">
        <v>20</v>
      </c>
    </row>
    <row r="69" spans="1:49" ht="14.65" customHeight="1">
      <c r="P69" s="447"/>
      <c r="AW69" s="1083">
        <v>14</v>
      </c>
    </row>
    <row r="70" spans="1:49" ht="28.5" customHeight="1">
      <c r="P70" s="447"/>
      <c r="V70" s="2193"/>
      <c r="W70" s="2193"/>
      <c r="X70" s="2193"/>
      <c r="Y70" s="2193"/>
      <c r="Z70" s="2193"/>
      <c r="AA70" s="2193"/>
      <c r="AB70" s="2193"/>
      <c r="AC70" s="2193"/>
      <c r="AD70" s="2193"/>
      <c r="AE70" s="2193"/>
      <c r="AF70" s="2193"/>
      <c r="AG70" s="2193"/>
      <c r="AH70" s="2193"/>
      <c r="AI70" s="2193"/>
      <c r="AJ70" s="2193"/>
      <c r="AK70" s="2193"/>
      <c r="AL70" s="2193"/>
      <c r="AM70" s="2193"/>
      <c r="AN70" s="2193"/>
      <c r="AO70" s="2193"/>
      <c r="AP70" s="2193"/>
      <c r="AQ70" s="2193"/>
      <c r="AW70" s="1083">
        <v>27</v>
      </c>
    </row>
    <row r="71" spans="1:49" ht="18.75" customHeight="1">
      <c r="P71" s="447"/>
      <c r="V71" s="2193"/>
      <c r="W71" s="2193"/>
      <c r="X71" s="2193"/>
      <c r="Y71" s="2193"/>
      <c r="Z71" s="2193"/>
      <c r="AA71" s="2193"/>
      <c r="AB71" s="2193"/>
      <c r="AC71" s="2193"/>
      <c r="AD71" s="2193"/>
      <c r="AE71" s="2193"/>
      <c r="AF71" s="2193"/>
      <c r="AG71" s="2193"/>
      <c r="AH71" s="2193"/>
      <c r="AI71" s="2193"/>
      <c r="AJ71" s="2193"/>
      <c r="AK71" s="2193"/>
      <c r="AL71" s="2193"/>
      <c r="AM71" s="2193"/>
      <c r="AN71" s="2193"/>
      <c r="AO71" s="2193"/>
      <c r="AP71" s="2193"/>
      <c r="AQ71" s="2193"/>
      <c r="AW71" s="1083">
        <v>18</v>
      </c>
    </row>
    <row r="72" spans="1:49" ht="22.5" hidden="1" customHeight="1">
      <c r="A72" s="1083" t="s">
        <v>81</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1703" customWidth="1"/>
    <col min="17" max="17" width="3" style="1299" customWidth="1"/>
    <col min="18" max="18" width="3" style="282" customWidth="1"/>
    <col min="19" max="19" width="12" style="2014"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5.42578125" style="1563" customWidth="1"/>
    <col min="29" max="30" width="3" style="1563" customWidth="1"/>
    <col min="31" max="31" width="24" style="1563" customWidth="1"/>
    <col min="32" max="32" width="3.7109375" style="1563" customWidth="1"/>
    <col min="33" max="34" width="3" style="1563" customWidth="1"/>
    <col min="35" max="35" width="24" style="1563" customWidth="1"/>
    <col min="36" max="36" width="3.7109375" style="1563" customWidth="1"/>
    <col min="37" max="38" width="3" style="1563" customWidth="1"/>
    <col min="39" max="39" width="18" style="1563" customWidth="1"/>
    <col min="40" max="41" width="21" style="1563" customWidth="1"/>
    <col min="42" max="42" width="11" style="1563" customWidth="1"/>
    <col min="43" max="43" width="3.7109375" style="1563" customWidth="1"/>
    <col min="44" max="44" width="11" style="1563" customWidth="1"/>
    <col min="45" max="45" width="8.5703125" style="1563" hidden="1" customWidth="1"/>
    <col min="46" max="46" width="4" style="1563" customWidth="1"/>
    <col min="47" max="47" width="115" style="1563" customWidth="1"/>
    <col min="48" max="52" width="10" style="1570" customWidth="1"/>
    <col min="53" max="53" width="10.5703125" style="1563" hidden="1"/>
  </cols>
  <sheetData>
    <row r="1" spans="1:53" ht="22.5" hidden="1" customHeight="1">
      <c r="W1" s="265"/>
      <c r="X1" s="265"/>
      <c r="AO1" s="265"/>
      <c r="AP1" s="265"/>
      <c r="BA1" s="1083" t="s">
        <v>14</v>
      </c>
    </row>
    <row r="2" spans="1:53" ht="21" hidden="1" customHeight="1">
      <c r="A2" s="1291"/>
      <c r="B2" s="1291"/>
      <c r="C2" s="1291"/>
      <c r="D2" s="1291"/>
      <c r="E2" s="2194">
        <v>1</v>
      </c>
      <c r="F2" s="1291"/>
      <c r="G2" s="1291"/>
      <c r="H2" s="1291"/>
      <c r="I2" s="1291"/>
      <c r="J2" s="1291"/>
      <c r="K2" s="1291"/>
      <c r="L2" s="1292"/>
      <c r="M2" s="1293"/>
      <c r="N2" s="1293"/>
      <c r="O2" s="1293"/>
      <c r="P2" s="1337"/>
      <c r="Q2" s="805"/>
      <c r="R2" s="293"/>
      <c r="S2" s="1264" t="e">
        <f>INDEX(PT_DIFFERENTIATION_NUM_NTAR,MATCH(A2,PT_DIFFERENTIATION_NTAR_ID,0))</f>
        <v>#N/A</v>
      </c>
      <c r="T2" s="236" t="s">
        <v>123</v>
      </c>
      <c r="U2" s="238"/>
      <c r="V2" s="2189"/>
      <c r="W2" s="2189"/>
      <c r="X2" s="2189"/>
      <c r="Y2" s="2189"/>
      <c r="Z2" s="2189"/>
      <c r="AA2" s="2190"/>
      <c r="AB2" s="2188" t="e">
        <f>INDEX(PT_DIFFERENTIATION_NTAR,MATCH(A2,PT_DIFFERENTIATION_NTAR_ID,0))</f>
        <v>#N/A</v>
      </c>
      <c r="AC2" s="2189"/>
      <c r="AD2" s="2189"/>
      <c r="AE2" s="2189"/>
      <c r="AF2" s="2189"/>
      <c r="AG2" s="2189"/>
      <c r="AH2" s="2189"/>
      <c r="AI2" s="2189"/>
      <c r="AJ2" s="2189"/>
      <c r="AK2" s="2189"/>
      <c r="AL2" s="2189"/>
      <c r="AM2" s="2189"/>
      <c r="AN2" s="2189"/>
      <c r="AO2" s="2189"/>
      <c r="AP2" s="2189"/>
      <c r="AQ2" s="2189"/>
      <c r="AR2" s="2189"/>
      <c r="AS2" s="2189"/>
      <c r="AT2" s="2190"/>
      <c r="AU2" s="1186" t="s">
        <v>394</v>
      </c>
      <c r="AW2" s="438"/>
      <c r="AX2" s="438" t="str">
        <f t="shared" ref="AX2:AX8" si="0">IF(T2="","",T2)</f>
        <v>Наименование тарифа</v>
      </c>
      <c r="AY2" s="438"/>
      <c r="AZ2" s="438"/>
      <c r="BA2" s="1083">
        <v>0</v>
      </c>
    </row>
    <row r="3" spans="1:53" ht="21" hidden="1" customHeight="1">
      <c r="A3" s="1291"/>
      <c r="B3" s="1291"/>
      <c r="C3" s="1291"/>
      <c r="D3" s="1291"/>
      <c r="E3" s="2195"/>
      <c r="F3" s="2194">
        <v>1</v>
      </c>
      <c r="G3" s="1291"/>
      <c r="H3" s="1291"/>
      <c r="I3" s="1291"/>
      <c r="J3" s="1291"/>
      <c r="K3" s="1291"/>
      <c r="L3" s="1292"/>
      <c r="M3" s="1293"/>
      <c r="N3" s="1293"/>
      <c r="O3" s="1293"/>
      <c r="P3" s="1338"/>
      <c r="Q3" s="1339"/>
      <c r="R3" s="291"/>
      <c r="S3" s="1264" t="e">
        <f>INDEX(PT_DIFFERENTIATION_NUM_TER,MATCH(B3,PT_DIFFERENTIATION_TER_ID,0))</f>
        <v>#N/A</v>
      </c>
      <c r="T3" s="246" t="s">
        <v>395</v>
      </c>
      <c r="U3" s="238"/>
      <c r="V3" s="2189"/>
      <c r="W3" s="2189"/>
      <c r="X3" s="2189"/>
      <c r="Y3" s="2189"/>
      <c r="Z3" s="2189"/>
      <c r="AA3" s="2190"/>
      <c r="AB3" s="2188" t="e">
        <f>INDEX(PT_DIFFERENTIATION_TER,MATCH(B3,PT_DIFFERENTIATION_TER_ID,0))</f>
        <v>#N/A</v>
      </c>
      <c r="AC3" s="2189"/>
      <c r="AD3" s="2189"/>
      <c r="AE3" s="2189"/>
      <c r="AF3" s="2189"/>
      <c r="AG3" s="2189"/>
      <c r="AH3" s="2189"/>
      <c r="AI3" s="2189"/>
      <c r="AJ3" s="2189"/>
      <c r="AK3" s="2189"/>
      <c r="AL3" s="2189"/>
      <c r="AM3" s="2189"/>
      <c r="AN3" s="2189"/>
      <c r="AO3" s="2189"/>
      <c r="AP3" s="2189"/>
      <c r="AQ3" s="2189"/>
      <c r="AR3" s="2189"/>
      <c r="AS3" s="2189"/>
      <c r="AT3" s="2190"/>
      <c r="AU3" s="1186" t="s">
        <v>396</v>
      </c>
      <c r="AW3" s="438"/>
      <c r="AX3" s="438" t="str">
        <f t="shared" si="0"/>
        <v>Территория действия тарифа</v>
      </c>
      <c r="AY3" s="438"/>
      <c r="AZ3" s="438"/>
      <c r="BA3" s="1083">
        <v>0</v>
      </c>
    </row>
    <row r="4" spans="1:53" ht="22.5" hidden="1" customHeight="1">
      <c r="A4" s="1291"/>
      <c r="B4" s="1291"/>
      <c r="C4" s="1291"/>
      <c r="D4" s="1291"/>
      <c r="E4" s="2195"/>
      <c r="F4" s="2195"/>
      <c r="G4" s="2194">
        <v>1</v>
      </c>
      <c r="H4" s="1291"/>
      <c r="I4" s="1291"/>
      <c r="J4" s="1291"/>
      <c r="K4" s="1291"/>
      <c r="L4" s="1292"/>
      <c r="M4" s="1293"/>
      <c r="N4" s="1293"/>
      <c r="O4" s="1293"/>
      <c r="P4" s="1340"/>
      <c r="Q4" s="1339"/>
      <c r="R4" s="291"/>
      <c r="S4" s="1264" t="e">
        <f>INDEX(PT_DIFFERENTIATION_NUM_CS,MATCH(C4,PT_DIFFERENTIATION_CS_ID,0))</f>
        <v>#N/A</v>
      </c>
      <c r="T4" s="247" t="s">
        <v>397</v>
      </c>
      <c r="U4" s="238"/>
      <c r="V4" s="2189"/>
      <c r="W4" s="2189"/>
      <c r="X4" s="2189"/>
      <c r="Y4" s="2189"/>
      <c r="Z4" s="2189"/>
      <c r="AA4" s="2190"/>
      <c r="AB4" s="2188" t="e">
        <f>INDEX(PT_DIFFERENTIATION_CS,MATCH(C4,PT_DIFFERENTIATION_CS_ID,0))</f>
        <v>#N/A</v>
      </c>
      <c r="AC4" s="2189"/>
      <c r="AD4" s="2189"/>
      <c r="AE4" s="2189"/>
      <c r="AF4" s="2189"/>
      <c r="AG4" s="2189"/>
      <c r="AH4" s="2189"/>
      <c r="AI4" s="2189"/>
      <c r="AJ4" s="2189"/>
      <c r="AK4" s="2189"/>
      <c r="AL4" s="2189"/>
      <c r="AM4" s="2189"/>
      <c r="AN4" s="2189"/>
      <c r="AO4" s="2189"/>
      <c r="AP4" s="2189"/>
      <c r="AQ4" s="2189"/>
      <c r="AR4" s="2189"/>
      <c r="AS4" s="2189"/>
      <c r="AT4" s="2190"/>
      <c r="AU4" s="1186" t="s">
        <v>398</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195"/>
      <c r="F5" s="2195"/>
      <c r="G5" s="2195"/>
      <c r="H5" s="2194">
        <v>1</v>
      </c>
      <c r="I5" s="1291"/>
      <c r="J5" s="1291"/>
      <c r="K5" s="1291"/>
      <c r="L5" s="1292"/>
      <c r="M5" s="1293"/>
      <c r="N5" s="1293"/>
      <c r="O5" s="1293"/>
      <c r="P5" s="1340"/>
      <c r="Q5" s="1339"/>
      <c r="R5" s="291"/>
      <c r="S5" s="1264" t="e">
        <f>INDEX(PT_DIFFERENTIATION_NUM_IST_TE,MATCH(D5,PT_DIFFERENTIATION_IST_TE_ID,0))</f>
        <v>#N/A</v>
      </c>
      <c r="T5" s="248" t="s">
        <v>399</v>
      </c>
      <c r="U5" s="238"/>
      <c r="V5" s="2189"/>
      <c r="W5" s="2189"/>
      <c r="X5" s="2189"/>
      <c r="Y5" s="2189"/>
      <c r="Z5" s="2189"/>
      <c r="AA5" s="2190"/>
      <c r="AB5" s="2188" t="e">
        <f>INDEX(PT_DIFFERENTIATION_IST_TE,MATCH(D5,PT_DIFFERENTIATION_IST_TE_ID,0))</f>
        <v>#N/A</v>
      </c>
      <c r="AC5" s="2189"/>
      <c r="AD5" s="2189"/>
      <c r="AE5" s="2189"/>
      <c r="AF5" s="2189"/>
      <c r="AG5" s="2189"/>
      <c r="AH5" s="2189"/>
      <c r="AI5" s="2189"/>
      <c r="AJ5" s="2189"/>
      <c r="AK5" s="2189"/>
      <c r="AL5" s="2189"/>
      <c r="AM5" s="2189"/>
      <c r="AN5" s="2189"/>
      <c r="AO5" s="2189"/>
      <c r="AP5" s="2189"/>
      <c r="AQ5" s="2189"/>
      <c r="AR5" s="2189"/>
      <c r="AS5" s="2189"/>
      <c r="AT5" s="2190"/>
      <c r="AU5" s="1186" t="s">
        <v>400</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195"/>
      <c r="F6" s="2195"/>
      <c r="G6" s="2195"/>
      <c r="H6" s="2195"/>
      <c r="I6" s="2196" t="e">
        <f>S5&amp;".1"</f>
        <v>#N/A</v>
      </c>
      <c r="J6" s="1271"/>
      <c r="K6" s="1271"/>
      <c r="L6" s="1274" t="s">
        <v>401</v>
      </c>
      <c r="M6" s="448"/>
      <c r="N6" s="448"/>
      <c r="O6" s="448"/>
      <c r="P6" s="2198">
        <v>1</v>
      </c>
      <c r="Q6" s="1259"/>
      <c r="R6" s="294"/>
      <c r="S6" s="973"/>
      <c r="T6" s="1311"/>
      <c r="U6" s="1312"/>
      <c r="V6" s="2226"/>
      <c r="W6" s="2226"/>
      <c r="X6" s="2226"/>
      <c r="Y6" s="2226"/>
      <c r="Z6" s="2226"/>
      <c r="AA6" s="2227"/>
      <c r="AB6" s="2225"/>
      <c r="AC6" s="2226"/>
      <c r="AD6" s="2226"/>
      <c r="AE6" s="2226"/>
      <c r="AF6" s="2226"/>
      <c r="AG6" s="2226"/>
      <c r="AH6" s="2226"/>
      <c r="AI6" s="2226"/>
      <c r="AJ6" s="2226"/>
      <c r="AK6" s="2226"/>
      <c r="AL6" s="2226"/>
      <c r="AM6" s="2226"/>
      <c r="AN6" s="2226"/>
      <c r="AO6" s="2226"/>
      <c r="AP6" s="2226"/>
      <c r="AQ6" s="2226"/>
      <c r="AR6" s="2226"/>
      <c r="AS6" s="2226"/>
      <c r="AT6" s="2227"/>
      <c r="AU6" s="1313"/>
      <c r="AW6" s="438"/>
      <c r="AX6" s="438" t="str">
        <f t="shared" si="0"/>
        <v/>
      </c>
      <c r="AY6" s="438"/>
      <c r="AZ6" s="438"/>
      <c r="BA6" s="449">
        <v>0</v>
      </c>
    </row>
    <row r="7" spans="1:53" s="1570" customFormat="1" ht="0.75" hidden="1" customHeight="1">
      <c r="A7" s="1271"/>
      <c r="B7" s="1271"/>
      <c r="C7" s="1271"/>
      <c r="D7" s="1271"/>
      <c r="E7" s="2195"/>
      <c r="F7" s="2195"/>
      <c r="G7" s="2195"/>
      <c r="H7" s="2195"/>
      <c r="I7" s="2197"/>
      <c r="J7" s="2196" t="e">
        <f>S5&amp;".1"</f>
        <v>#N/A</v>
      </c>
      <c r="K7" s="1271"/>
      <c r="L7" s="1274"/>
      <c r="M7" s="448"/>
      <c r="N7" s="448"/>
      <c r="O7" s="448"/>
      <c r="P7" s="2198"/>
      <c r="Q7" s="2198">
        <v>1</v>
      </c>
      <c r="R7" s="295"/>
      <c r="S7" s="973"/>
      <c r="T7" s="1327"/>
      <c r="U7" s="1312"/>
      <c r="V7" s="2226"/>
      <c r="W7" s="2226"/>
      <c r="X7" s="2226"/>
      <c r="Y7" s="2226"/>
      <c r="Z7" s="2226"/>
      <c r="AA7" s="2227"/>
      <c r="AB7" s="2225"/>
      <c r="AC7" s="2226"/>
      <c r="AD7" s="2226"/>
      <c r="AE7" s="2226"/>
      <c r="AF7" s="2226"/>
      <c r="AG7" s="2226"/>
      <c r="AH7" s="2226"/>
      <c r="AI7" s="2226"/>
      <c r="AJ7" s="2226"/>
      <c r="AK7" s="2226"/>
      <c r="AL7" s="2226"/>
      <c r="AM7" s="2226"/>
      <c r="AN7" s="2226"/>
      <c r="AO7" s="2226"/>
      <c r="AP7" s="2226"/>
      <c r="AQ7" s="2226"/>
      <c r="AR7" s="2226"/>
      <c r="AS7" s="2226"/>
      <c r="AT7" s="2227"/>
      <c r="AU7" s="1313"/>
      <c r="AW7" s="438"/>
      <c r="AX7" s="438" t="str">
        <f t="shared" si="0"/>
        <v/>
      </c>
      <c r="AY7" s="438"/>
      <c r="AZ7" s="438"/>
      <c r="BA7" s="449">
        <v>0</v>
      </c>
    </row>
    <row r="8" spans="1:53" ht="21" hidden="1" customHeight="1">
      <c r="A8" s="1291"/>
      <c r="B8" s="1291"/>
      <c r="C8" s="1291"/>
      <c r="D8" s="1291"/>
      <c r="E8" s="2195"/>
      <c r="F8" s="2195"/>
      <c r="G8" s="2195"/>
      <c r="H8" s="2195"/>
      <c r="I8" s="2197"/>
      <c r="J8" s="2197"/>
      <c r="K8" s="2196" t="e">
        <f>S5&amp;".1"</f>
        <v>#N/A</v>
      </c>
      <c r="L8" s="1292"/>
      <c r="P8" s="2198"/>
      <c r="Q8" s="2198"/>
      <c r="R8" s="2254">
        <v>1</v>
      </c>
      <c r="S8" s="2251" t="e">
        <f>$K8</f>
        <v>#N/A</v>
      </c>
      <c r="T8" s="2248"/>
      <c r="U8" s="238"/>
      <c r="V8" s="689"/>
      <c r="W8" s="1185"/>
      <c r="X8" s="2199"/>
      <c r="Y8" s="2076" t="s">
        <v>65</v>
      </c>
      <c r="Z8" s="2199"/>
      <c r="AA8" s="2076" t="s">
        <v>65</v>
      </c>
      <c r="AB8" s="2076" t="s">
        <v>19</v>
      </c>
      <c r="AC8" s="2247"/>
      <c r="AD8" s="2151">
        <v>1</v>
      </c>
      <c r="AE8" s="2261"/>
      <c r="AF8" s="2076" t="s">
        <v>19</v>
      </c>
      <c r="AG8" s="2247"/>
      <c r="AH8" s="2151">
        <v>1</v>
      </c>
      <c r="AI8" s="2261"/>
      <c r="AJ8" s="2076" t="s">
        <v>19</v>
      </c>
      <c r="AK8" s="249"/>
      <c r="AL8" s="1265">
        <v>1</v>
      </c>
      <c r="AM8" s="1326"/>
      <c r="AN8" s="689"/>
      <c r="AO8" s="1185"/>
      <c r="AP8" s="1661"/>
      <c r="AQ8" s="1387" t="s">
        <v>65</v>
      </c>
      <c r="AR8" s="1661"/>
      <c r="AS8" s="1387" t="s">
        <v>65</v>
      </c>
      <c r="AT8" s="1276"/>
      <c r="AU8" s="2217" t="s">
        <v>462</v>
      </c>
      <c r="AV8" s="449" t="e">
        <f ca="1">STRCHECKDATE(V11:AT11)</f>
        <v>#NAME?</v>
      </c>
      <c r="AW8" s="438"/>
      <c r="AX8" s="438" t="str">
        <f t="shared" si="0"/>
        <v/>
      </c>
      <c r="AY8" s="438"/>
      <c r="AZ8" s="438"/>
      <c r="BA8" s="1083">
        <v>0</v>
      </c>
    </row>
    <row r="9" spans="1:53" ht="11.25" hidden="1" customHeight="1">
      <c r="A9" s="1291"/>
      <c r="B9" s="1291"/>
      <c r="C9" s="1291"/>
      <c r="D9" s="1291"/>
      <c r="E9" s="2195"/>
      <c r="F9" s="2195"/>
      <c r="G9" s="2195"/>
      <c r="H9" s="2195"/>
      <c r="I9" s="2197"/>
      <c r="J9" s="2197"/>
      <c r="K9" s="2196"/>
      <c r="L9" s="1292"/>
      <c r="P9" s="2198"/>
      <c r="Q9" s="2198"/>
      <c r="R9" s="2254"/>
      <c r="S9" s="2252"/>
      <c r="T9" s="2249"/>
      <c r="U9" s="238"/>
      <c r="V9" s="1321"/>
      <c r="W9" s="1325"/>
      <c r="X9" s="2199"/>
      <c r="Y9" s="2076"/>
      <c r="Z9" s="2199"/>
      <c r="AA9" s="2076"/>
      <c r="AB9" s="2076"/>
      <c r="AC9" s="2247"/>
      <c r="AD9" s="2151"/>
      <c r="AE9" s="2261"/>
      <c r="AF9" s="2076"/>
      <c r="AG9" s="2247"/>
      <c r="AH9" s="2151"/>
      <c r="AI9" s="2261"/>
      <c r="AJ9" s="2076"/>
      <c r="AK9" s="254"/>
      <c r="AL9" s="354"/>
      <c r="AM9" s="353" t="s">
        <v>463</v>
      </c>
      <c r="AN9" s="1321"/>
      <c r="AO9" s="1424"/>
      <c r="AP9" s="1321"/>
      <c r="AQ9" s="1321"/>
      <c r="AR9" s="1321"/>
      <c r="AS9" s="1321"/>
      <c r="AT9" s="1318"/>
      <c r="AU9" s="2218"/>
      <c r="AW9" s="438"/>
      <c r="AX9" s="438"/>
      <c r="AY9" s="438"/>
      <c r="AZ9" s="438"/>
      <c r="BA9" s="1083">
        <v>0</v>
      </c>
    </row>
    <row r="10" spans="1:53" ht="11.25" hidden="1" customHeight="1">
      <c r="A10" s="1291"/>
      <c r="B10" s="1291"/>
      <c r="C10" s="1291"/>
      <c r="D10" s="1291"/>
      <c r="E10" s="2195"/>
      <c r="F10" s="2195"/>
      <c r="G10" s="2195"/>
      <c r="H10" s="2195"/>
      <c r="I10" s="2197"/>
      <c r="J10" s="2197"/>
      <c r="K10" s="2196"/>
      <c r="L10" s="1292"/>
      <c r="P10" s="2198"/>
      <c r="Q10" s="2198"/>
      <c r="R10" s="2254"/>
      <c r="S10" s="2252"/>
      <c r="T10" s="2249"/>
      <c r="U10" s="238"/>
      <c r="V10" s="1321"/>
      <c r="W10" s="1325"/>
      <c r="X10" s="2199"/>
      <c r="Y10" s="2076"/>
      <c r="Z10" s="2199"/>
      <c r="AA10" s="2076"/>
      <c r="AB10" s="2076"/>
      <c r="AC10" s="2247"/>
      <c r="AD10" s="2151"/>
      <c r="AE10" s="2261"/>
      <c r="AF10" s="2076"/>
      <c r="AG10" s="232"/>
      <c r="AH10" s="353"/>
      <c r="AI10" s="353" t="s">
        <v>464</v>
      </c>
      <c r="AJ10" s="1321"/>
      <c r="AK10" s="1321"/>
      <c r="AL10" s="1321"/>
      <c r="AM10" s="1321"/>
      <c r="AN10" s="1321"/>
      <c r="AO10" s="1424"/>
      <c r="AP10" s="1321"/>
      <c r="AQ10" s="1321"/>
      <c r="AR10" s="1321"/>
      <c r="AS10" s="1321"/>
      <c r="AT10" s="1318"/>
      <c r="AU10" s="2218"/>
      <c r="AW10" s="438"/>
      <c r="AX10" s="438"/>
      <c r="AY10" s="438"/>
      <c r="AZ10" s="438"/>
      <c r="BA10" s="1083">
        <v>0</v>
      </c>
    </row>
    <row r="11" spans="1:53" ht="11.25" hidden="1" customHeight="1">
      <c r="A11" s="1291"/>
      <c r="B11" s="1291"/>
      <c r="C11" s="1291"/>
      <c r="D11" s="1291"/>
      <c r="E11" s="2195"/>
      <c r="F11" s="2195"/>
      <c r="G11" s="2195"/>
      <c r="H11" s="2195"/>
      <c r="I11" s="2197"/>
      <c r="J11" s="2197"/>
      <c r="K11" s="2196"/>
      <c r="L11" s="1292"/>
      <c r="P11" s="2198"/>
      <c r="Q11" s="2198"/>
      <c r="R11" s="2254"/>
      <c r="S11" s="2253"/>
      <c r="T11" s="2250"/>
      <c r="U11" s="238"/>
      <c r="V11" s="1321"/>
      <c r="W11" s="1324" t="str">
        <f>X8&amp;"-"&amp;Z8</f>
        <v>-</v>
      </c>
      <c r="X11" s="2200"/>
      <c r="Y11" s="2076"/>
      <c r="Z11" s="2200"/>
      <c r="AA11" s="2076"/>
      <c r="AB11" s="2076"/>
      <c r="AC11" s="250"/>
      <c r="AD11" s="252"/>
      <c r="AE11" s="353" t="s">
        <v>465</v>
      </c>
      <c r="AF11" s="1321"/>
      <c r="AG11" s="1321"/>
      <c r="AH11" s="1321"/>
      <c r="AI11" s="1321"/>
      <c r="AJ11" s="1321"/>
      <c r="AK11" s="1321"/>
      <c r="AL11" s="1321"/>
      <c r="AM11" s="1321"/>
      <c r="AN11" s="1321"/>
      <c r="AO11" s="1322" t="str">
        <f>AP8&amp;"-"&amp;AR8</f>
        <v>-</v>
      </c>
      <c r="AP11" s="1321"/>
      <c r="AQ11" s="1321"/>
      <c r="AR11" s="1321"/>
      <c r="AS11" s="1321"/>
      <c r="AT11" s="1277"/>
      <c r="AU11" s="2218"/>
      <c r="AW11" s="438"/>
      <c r="AX11" s="438" t="str">
        <f t="shared" ref="AX11:AX17" si="1">IF(T11="","",T11)</f>
        <v/>
      </c>
      <c r="AY11" s="438"/>
      <c r="AZ11" s="438"/>
      <c r="BA11" s="1083">
        <v>0</v>
      </c>
    </row>
    <row r="12" spans="1:53" ht="11.25" hidden="1" customHeight="1">
      <c r="A12" s="1291"/>
      <c r="B12" s="1291"/>
      <c r="C12" s="1291"/>
      <c r="D12" s="1291"/>
      <c r="E12" s="2195"/>
      <c r="F12" s="2195"/>
      <c r="G12" s="2195"/>
      <c r="H12" s="2195"/>
      <c r="I12" s="2197"/>
      <c r="J12" s="2196"/>
      <c r="K12" s="1291"/>
      <c r="L12" s="1292"/>
      <c r="P12" s="2198"/>
      <c r="Q12" s="2198"/>
      <c r="R12" s="294"/>
      <c r="S12" s="1206"/>
      <c r="T12" s="225" t="s">
        <v>466</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19"/>
      <c r="AW12" s="438"/>
      <c r="AX12" s="438" t="str">
        <f t="shared" si="1"/>
        <v>Добавить строку</v>
      </c>
      <c r="AY12" s="438"/>
      <c r="AZ12" s="438"/>
      <c r="BA12" s="1083">
        <v>0</v>
      </c>
    </row>
    <row r="13" spans="1:53" s="1570" customFormat="1" ht="0.75" hidden="1" customHeight="1">
      <c r="A13" s="1271"/>
      <c r="B13" s="1271"/>
      <c r="C13" s="1271"/>
      <c r="D13" s="1271"/>
      <c r="E13" s="2195"/>
      <c r="F13" s="2195"/>
      <c r="G13" s="2195"/>
      <c r="H13" s="2195"/>
      <c r="I13" s="2196"/>
      <c r="J13" s="1271"/>
      <c r="K13" s="1271"/>
      <c r="L13" s="1274"/>
      <c r="M13" s="448"/>
      <c r="N13" s="448"/>
      <c r="O13" s="448"/>
      <c r="P13" s="2198"/>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195"/>
      <c r="F14" s="2195"/>
      <c r="G14" s="2195"/>
      <c r="H14" s="2194"/>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195"/>
      <c r="F15" s="2195"/>
      <c r="G15" s="2194"/>
      <c r="H15" s="1242"/>
      <c r="I15" s="1242"/>
      <c r="J15" s="1242"/>
      <c r="K15" s="1242"/>
      <c r="L15" s="1267"/>
      <c r="M15" s="1243"/>
      <c r="N15" s="1243"/>
      <c r="P15" s="1244"/>
      <c r="Q15" s="1245"/>
      <c r="R15" s="1244"/>
      <c r="S15" s="1250"/>
      <c r="T15" s="1253" t="s">
        <v>412</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195"/>
      <c r="F16" s="2194"/>
      <c r="G16" s="1242"/>
      <c r="H16" s="1242"/>
      <c r="I16" s="1242"/>
      <c r="J16" s="1242"/>
      <c r="K16" s="1242"/>
      <c r="L16" s="1267"/>
      <c r="M16" s="1249"/>
      <c r="N16" s="1249"/>
      <c r="P16" s="1244"/>
      <c r="Q16" s="1245"/>
      <c r="R16" s="1244"/>
      <c r="S16" s="1250"/>
      <c r="T16" s="1253" t="s">
        <v>413</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194"/>
      <c r="F17" s="1271"/>
      <c r="G17" s="1271"/>
      <c r="H17" s="1271"/>
      <c r="I17" s="1271"/>
      <c r="J17" s="1271"/>
      <c r="K17" s="1271"/>
      <c r="L17" s="1274"/>
      <c r="M17" s="1249"/>
      <c r="N17" s="1249"/>
      <c r="O17" s="456"/>
      <c r="P17" s="318"/>
      <c r="Q17" s="1272"/>
      <c r="R17" s="318"/>
      <c r="S17" s="1250"/>
      <c r="T17" s="1253" t="s">
        <v>414</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65</v>
      </c>
      <c r="AR19" s="1663"/>
      <c r="AS19" s="1388" t="s">
        <v>65</v>
      </c>
      <c r="BA19" s="1083">
        <v>0</v>
      </c>
    </row>
    <row r="20" spans="1:53" ht="14.25" hidden="1" customHeight="1">
      <c r="AV20" s="434"/>
      <c r="AW20" s="434"/>
      <c r="AX20" s="434"/>
      <c r="AY20" s="434"/>
      <c r="AZ20" s="434"/>
      <c r="BA20" s="1083">
        <v>0</v>
      </c>
    </row>
    <row r="21" spans="1:53" ht="14.25" hidden="1" customHeight="1">
      <c r="O21" s="1295" t="s">
        <v>415</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416</v>
      </c>
      <c r="P23" s="1436"/>
      <c r="Q23" s="1438"/>
      <c r="R23" s="1438"/>
      <c r="Y23" s="1435" t="s">
        <v>418</v>
      </c>
      <c r="AA23" s="1435" t="s">
        <v>419</v>
      </c>
      <c r="AB23" s="1435" t="s">
        <v>467</v>
      </c>
      <c r="AE23" s="1435" t="s">
        <v>468</v>
      </c>
      <c r="AF23" s="1435" t="s">
        <v>467</v>
      </c>
      <c r="AI23" s="1435" t="s">
        <v>469</v>
      </c>
      <c r="AJ23" s="1435" t="s">
        <v>467</v>
      </c>
      <c r="AM23" s="1435" t="s">
        <v>470</v>
      </c>
      <c r="AQ23" s="1435" t="s">
        <v>418</v>
      </c>
      <c r="AS23" s="1435" t="s">
        <v>419</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65"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4" customHeight="1">
      <c r="Q27" s="229"/>
      <c r="R27" s="314"/>
      <c r="S27" s="217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5"/>
      <c r="U27" s="2175"/>
      <c r="V27" s="2175"/>
      <c r="W27" s="2175"/>
      <c r="X27" s="2175"/>
      <c r="Y27" s="2175"/>
      <c r="Z27" s="2175"/>
      <c r="AA27" s="2175"/>
      <c r="AB27" s="2175"/>
      <c r="AC27" s="2175"/>
      <c r="AD27" s="2175"/>
      <c r="AE27" s="2175"/>
      <c r="AF27" s="2175"/>
      <c r="AG27" s="2175"/>
      <c r="AH27" s="2175"/>
      <c r="AI27" s="2175"/>
      <c r="AJ27" s="2175"/>
      <c r="AK27" s="2175"/>
      <c r="AL27" s="2175"/>
      <c r="AM27" s="2175"/>
      <c r="AN27" s="2175"/>
      <c r="AO27" s="2175"/>
      <c r="AP27" s="2175"/>
      <c r="AQ27" s="2175"/>
      <c r="AR27" s="2175"/>
      <c r="AS27" s="1171"/>
      <c r="BA27" s="1083">
        <v>26</v>
      </c>
    </row>
    <row r="28" spans="1:53" ht="14.65" customHeight="1">
      <c r="Q28" s="229"/>
      <c r="R28" s="314"/>
      <c r="S28" s="2147" t="str">
        <f>IF(org=0,"Не определено",org)</f>
        <v>ООО "Профит"</v>
      </c>
      <c r="T28" s="2147"/>
      <c r="U28" s="2147"/>
      <c r="V28" s="2147"/>
      <c r="W28" s="2147"/>
      <c r="X28" s="2147"/>
      <c r="Y28" s="2147"/>
      <c r="Z28" s="2147"/>
      <c r="AA28" s="2147"/>
      <c r="AB28" s="2147"/>
      <c r="AC28" s="2147"/>
      <c r="AD28" s="2147"/>
      <c r="AE28" s="2147"/>
      <c r="AF28" s="2147"/>
      <c r="AG28" s="2147"/>
      <c r="AH28" s="2147"/>
      <c r="AI28" s="2147"/>
      <c r="AJ28" s="2147"/>
      <c r="AK28" s="2147"/>
      <c r="AL28" s="2147"/>
      <c r="AM28" s="2147"/>
      <c r="AN28" s="2147"/>
      <c r="AO28" s="2147"/>
      <c r="AP28" s="2147"/>
      <c r="AQ28" s="2147"/>
      <c r="AR28" s="2147"/>
      <c r="AS28" s="1171"/>
      <c r="BA28" s="1083">
        <v>14</v>
      </c>
    </row>
    <row r="29" spans="1:53" ht="14.25" hidden="1"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hidden="1" customHeight="1">
      <c r="A30" s="1296"/>
      <c r="B30" s="1296"/>
      <c r="C30" s="1296"/>
      <c r="D30" s="1296"/>
      <c r="E30" s="1296"/>
      <c r="F30" s="1296"/>
      <c r="G30" s="1296"/>
      <c r="H30" s="1296"/>
      <c r="I30" s="1296"/>
      <c r="J30" s="1296"/>
      <c r="K30" s="1296"/>
      <c r="L30" s="1297"/>
      <c r="M30" s="1296"/>
      <c r="N30" s="1296"/>
      <c r="O30" s="1296"/>
      <c r="P30" s="1296"/>
      <c r="Q30" s="1296"/>
      <c r="S30" s="2185" t="s">
        <v>42</v>
      </c>
      <c r="T30" s="2185"/>
      <c r="U30" s="1300"/>
      <c r="V30" s="2187" t="str">
        <f>IF(TITLE_NAME_OR_PR_CHANGE="",IF(TITLE_NAME_OR_PR="","",TITLE_NAME_OR_PR),TITLE_NAME_OR_PR_CHANGE)</f>
        <v/>
      </c>
      <c r="W30" s="2187"/>
      <c r="X30" s="2187"/>
      <c r="Y30" s="2187"/>
      <c r="Z30" s="2187"/>
      <c r="AA30" s="264"/>
      <c r="AB30" s="2187" t="str">
        <f>IF(TITLE_NAME_OR_PR_CHANGE="",IF(TITLE_NAME_OR_PR="","",TITLE_NAME_OR_PR),TITLE_NAME_OR_PR_CHANGE)</f>
        <v/>
      </c>
      <c r="AC30" s="2187"/>
      <c r="AD30" s="2187"/>
      <c r="AE30" s="2187"/>
      <c r="AF30" s="2187"/>
      <c r="AG30" s="2187"/>
      <c r="AH30" s="2187"/>
      <c r="AI30" s="2187"/>
      <c r="AJ30" s="2187"/>
      <c r="AK30" s="2187"/>
      <c r="AL30" s="2187"/>
      <c r="AM30" s="2187"/>
      <c r="AN30" s="2187"/>
      <c r="AO30" s="2187"/>
      <c r="AP30" s="2187"/>
      <c r="AQ30" s="2187"/>
      <c r="AR30" s="2187"/>
      <c r="AS30" s="264"/>
      <c r="AT30" s="264"/>
      <c r="AU30" s="218"/>
      <c r="AV30" s="306"/>
      <c r="AW30" s="306"/>
      <c r="AX30" s="306"/>
      <c r="AY30" s="306"/>
      <c r="AZ30" s="306"/>
      <c r="BA30" s="356">
        <v>0</v>
      </c>
    </row>
    <row r="31" spans="1:53" s="1779" customFormat="1" ht="18.75" hidden="1" customHeight="1">
      <c r="A31" s="1296"/>
      <c r="B31" s="1296"/>
      <c r="C31" s="1296"/>
      <c r="D31" s="1296"/>
      <c r="E31" s="1296"/>
      <c r="F31" s="1296"/>
      <c r="G31" s="1296"/>
      <c r="H31" s="1296"/>
      <c r="I31" s="1296"/>
      <c r="J31" s="1296"/>
      <c r="K31" s="1296"/>
      <c r="L31" s="1297"/>
      <c r="M31" s="1296"/>
      <c r="N31" s="1296"/>
      <c r="O31" s="1296"/>
      <c r="P31" s="1296"/>
      <c r="Q31" s="1296"/>
      <c r="S31" s="2185" t="s">
        <v>421</v>
      </c>
      <c r="T31" s="2185"/>
      <c r="U31" s="1300"/>
      <c r="V31" s="2186" t="str">
        <f>IF(TITLE_DATE_PR_CHANGE="",IF(TITLE_DATE_PR="","",TITLE_DATE_PR),TITLE_DATE_PR_CHANGE)</f>
        <v/>
      </c>
      <c r="W31" s="2186"/>
      <c r="X31" s="2186"/>
      <c r="Y31" s="2186"/>
      <c r="Z31" s="2186"/>
      <c r="AA31" s="264"/>
      <c r="AB31" s="2186" t="str">
        <f>IF(TITLE_DATE_PR_CHANGE="",IF(TITLE_DATE_PR="","",TITLE_DATE_PR),TITLE_DATE_PR_CHANGE)</f>
        <v/>
      </c>
      <c r="AC31" s="2186"/>
      <c r="AD31" s="2186"/>
      <c r="AE31" s="2186"/>
      <c r="AF31" s="2186"/>
      <c r="AG31" s="2186"/>
      <c r="AH31" s="2186"/>
      <c r="AI31" s="2186"/>
      <c r="AJ31" s="2186"/>
      <c r="AK31" s="2186"/>
      <c r="AL31" s="2186"/>
      <c r="AM31" s="2186"/>
      <c r="AN31" s="2186"/>
      <c r="AO31" s="2186"/>
      <c r="AP31" s="2186"/>
      <c r="AQ31" s="2186"/>
      <c r="AR31" s="2186"/>
      <c r="AS31" s="264"/>
      <c r="AT31" s="264"/>
      <c r="AU31" s="218"/>
      <c r="AV31" s="306"/>
      <c r="AW31" s="306"/>
      <c r="AX31" s="306"/>
      <c r="AY31" s="306"/>
      <c r="AZ31" s="306"/>
      <c r="BA31" s="356">
        <v>0</v>
      </c>
    </row>
    <row r="32" spans="1:53"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5" t="s">
        <v>422</v>
      </c>
      <c r="T32" s="2185"/>
      <c r="U32" s="1300"/>
      <c r="V32" s="2187" t="str">
        <f>IF(TITLE_NUMBER_PR_CHANGE="",IF(TITLE_NUMBER_PR="","",TITLE_NUMBER_PR),TITLE_NUMBER_PR_CHANGE)</f>
        <v/>
      </c>
      <c r="W32" s="2187"/>
      <c r="X32" s="2187"/>
      <c r="Y32" s="2187"/>
      <c r="Z32" s="2187"/>
      <c r="AA32" s="264"/>
      <c r="AB32" s="2187" t="str">
        <f>IF(TITLE_NUMBER_PR_CHANGE="",IF(TITLE_NUMBER_PR="","",TITLE_NUMBER_PR),TITLE_NUMBER_PR_CHANGE)</f>
        <v/>
      </c>
      <c r="AC32" s="2187"/>
      <c r="AD32" s="2187"/>
      <c r="AE32" s="2187"/>
      <c r="AF32" s="2187"/>
      <c r="AG32" s="2187"/>
      <c r="AH32" s="2187"/>
      <c r="AI32" s="2187"/>
      <c r="AJ32" s="2187"/>
      <c r="AK32" s="2187"/>
      <c r="AL32" s="2187"/>
      <c r="AM32" s="2187"/>
      <c r="AN32" s="2187"/>
      <c r="AO32" s="2187"/>
      <c r="AP32" s="2187"/>
      <c r="AQ32" s="2187"/>
      <c r="AR32" s="2187"/>
      <c r="AS32" s="264"/>
      <c r="AT32" s="264"/>
      <c r="AU32" s="218"/>
      <c r="AV32" s="306"/>
      <c r="AW32" s="306"/>
      <c r="AX32" s="306"/>
      <c r="AY32" s="306"/>
      <c r="AZ32" s="306"/>
      <c r="BA32" s="356">
        <v>0</v>
      </c>
    </row>
    <row r="33" spans="1:53"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5" t="s">
        <v>43</v>
      </c>
      <c r="T33" s="2185"/>
      <c r="U33" s="1300"/>
      <c r="V33" s="2187" t="str">
        <f>IF(TITLE_IST_PUB_CHANGE="",IF(TITLE_IST_PUB="","",TITLE_IST_PUB),TITLE_IST_PUB_CHANGE)</f>
        <v/>
      </c>
      <c r="W33" s="2187"/>
      <c r="X33" s="2187"/>
      <c r="Y33" s="2187"/>
      <c r="Z33" s="2187"/>
      <c r="AA33" s="264"/>
      <c r="AB33" s="2187" t="str">
        <f>IF(TITLE_IST_PUB_CHANGE="",IF(TITLE_IST_PUB="","",TITLE_IST_PUB),TITLE_IST_PUB_CHANGE)</f>
        <v/>
      </c>
      <c r="AC33" s="2187"/>
      <c r="AD33" s="2187"/>
      <c r="AE33" s="2187"/>
      <c r="AF33" s="2187"/>
      <c r="AG33" s="2187"/>
      <c r="AH33" s="2187"/>
      <c r="AI33" s="2187"/>
      <c r="AJ33" s="2187"/>
      <c r="AK33" s="2187"/>
      <c r="AL33" s="2187"/>
      <c r="AM33" s="2187"/>
      <c r="AN33" s="2187"/>
      <c r="AO33" s="2187"/>
      <c r="AP33" s="2187"/>
      <c r="AQ33" s="2187"/>
      <c r="AR33" s="2187"/>
      <c r="AS33" s="264"/>
      <c r="AT33" s="264"/>
      <c r="AU33" s="218"/>
      <c r="AV33" s="306"/>
      <c r="AW33" s="306"/>
      <c r="AX33" s="306"/>
      <c r="AY33" s="306"/>
      <c r="AZ33" s="306"/>
      <c r="BA33" s="356">
        <v>0</v>
      </c>
    </row>
    <row r="34" spans="1:53" ht="14.25" hidden="1"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hidden="1" customHeight="1">
      <c r="A35" s="1296"/>
      <c r="B35" s="1296"/>
      <c r="C35" s="1296"/>
      <c r="D35" s="1296"/>
      <c r="E35" s="1296"/>
      <c r="F35" s="1296"/>
      <c r="G35" s="1296"/>
      <c r="H35" s="1296"/>
      <c r="I35" s="1296"/>
      <c r="J35" s="1296"/>
      <c r="K35" s="1296"/>
      <c r="L35" s="1297"/>
      <c r="M35" s="1296"/>
      <c r="N35" s="1296"/>
      <c r="O35" s="1296"/>
      <c r="P35" s="1296"/>
      <c r="Q35" s="1296"/>
      <c r="S35" s="2185" t="s">
        <v>421</v>
      </c>
      <c r="T35" s="2185"/>
      <c r="U35" s="1300"/>
      <c r="V35" s="2186" t="str">
        <f>IF(TITLE_DATE_PR_CHANGE="",IF(TITLE_DATE_PR="","",TITLE_DATE_PR),TITLE_DATE_PR_CHANGE)</f>
        <v/>
      </c>
      <c r="W35" s="2186"/>
      <c r="X35" s="2186"/>
      <c r="Y35" s="2186"/>
      <c r="Z35" s="2186"/>
      <c r="AA35" s="264"/>
      <c r="AB35" s="2186" t="str">
        <f>IF(TITLE_DATE_PR_CHANGE="",IF(TITLE_DATE_PR="","",TITLE_DATE_PR),TITLE_DATE_PR_CHANGE)</f>
        <v/>
      </c>
      <c r="AC35" s="2186"/>
      <c r="AD35" s="2186"/>
      <c r="AE35" s="2186"/>
      <c r="AF35" s="2186"/>
      <c r="AG35" s="2186"/>
      <c r="AH35" s="2186"/>
      <c r="AI35" s="2186"/>
      <c r="AJ35" s="2186"/>
      <c r="AK35" s="2186"/>
      <c r="AL35" s="2186"/>
      <c r="AM35" s="2186"/>
      <c r="AN35" s="2186"/>
      <c r="AO35" s="2186"/>
      <c r="AP35" s="2186"/>
      <c r="AQ35" s="2186"/>
      <c r="AR35" s="2186"/>
      <c r="AS35" s="264"/>
      <c r="AT35" s="264"/>
      <c r="AU35" s="218"/>
      <c r="AV35" s="306"/>
      <c r="AW35" s="306"/>
      <c r="AX35" s="306"/>
      <c r="AY35" s="306"/>
      <c r="AZ35" s="306"/>
      <c r="BA35" s="356">
        <v>0</v>
      </c>
    </row>
    <row r="36" spans="1:53" s="1779" customFormat="1" ht="18" hidden="1" customHeight="1">
      <c r="A36" s="1296"/>
      <c r="B36" s="1296"/>
      <c r="C36" s="1296"/>
      <c r="D36" s="1296"/>
      <c r="E36" s="1296"/>
      <c r="F36" s="1296"/>
      <c r="G36" s="1296"/>
      <c r="H36" s="1296"/>
      <c r="I36" s="1296"/>
      <c r="J36" s="1296"/>
      <c r="K36" s="1296"/>
      <c r="L36" s="1297"/>
      <c r="M36" s="1296"/>
      <c r="N36" s="1296"/>
      <c r="O36" s="1296"/>
      <c r="P36" s="1296"/>
      <c r="Q36" s="1296"/>
      <c r="S36" s="2185" t="s">
        <v>422</v>
      </c>
      <c r="T36" s="2185"/>
      <c r="U36" s="1300"/>
      <c r="V36" s="2187" t="str">
        <f>IF(TITLE_NUMBER_PR_CHANGE="",IF(TITLE_NUMBER_PR="","",TITLE_NUMBER_PR),TITLE_NUMBER_PR_CHANGE)</f>
        <v/>
      </c>
      <c r="W36" s="2187"/>
      <c r="X36" s="2187"/>
      <c r="Y36" s="2187"/>
      <c r="Z36" s="2187"/>
      <c r="AA36" s="264"/>
      <c r="AB36" s="2187" t="str">
        <f>IF(TITLE_NUMBER_PR_CHANGE="",IF(TITLE_NUMBER_PR="","",TITLE_NUMBER_PR),TITLE_NUMBER_PR_CHANGE)</f>
        <v/>
      </c>
      <c r="AC36" s="2187"/>
      <c r="AD36" s="2187"/>
      <c r="AE36" s="2187"/>
      <c r="AF36" s="2187"/>
      <c r="AG36" s="2187"/>
      <c r="AH36" s="2187"/>
      <c r="AI36" s="2187"/>
      <c r="AJ36" s="2187"/>
      <c r="AK36" s="2187"/>
      <c r="AL36" s="2187"/>
      <c r="AM36" s="2187"/>
      <c r="AN36" s="2187"/>
      <c r="AO36" s="2187"/>
      <c r="AP36" s="2187"/>
      <c r="AQ36" s="2187"/>
      <c r="AR36" s="2187"/>
      <c r="AS36" s="264"/>
      <c r="AT36" s="264"/>
      <c r="AU36" s="218"/>
      <c r="AV36" s="306"/>
      <c r="AW36" s="306"/>
      <c r="AX36" s="306"/>
      <c r="AY36" s="306"/>
      <c r="AZ36" s="306"/>
      <c r="BA36" s="356">
        <v>0</v>
      </c>
    </row>
    <row r="37" spans="1:53" s="1779" customFormat="1" ht="1.1499999999999999"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425</v>
      </c>
      <c r="AB37" s="264"/>
      <c r="AC37" s="264"/>
      <c r="AD37" s="264"/>
      <c r="AE37" s="264"/>
      <c r="AF37" s="264"/>
      <c r="AG37" s="264"/>
      <c r="AH37" s="264"/>
      <c r="AI37" s="264"/>
      <c r="AJ37" s="264"/>
      <c r="AK37" s="264"/>
      <c r="AL37" s="264"/>
      <c r="AM37" s="264"/>
      <c r="AN37" s="264"/>
      <c r="AO37" s="264"/>
      <c r="AP37" s="264"/>
      <c r="AQ37" s="264"/>
      <c r="AR37" s="264"/>
      <c r="AS37" s="216" t="s">
        <v>425</v>
      </c>
      <c r="AV37" s="306"/>
      <c r="AW37" s="306"/>
      <c r="AX37" s="306"/>
      <c r="AY37" s="306"/>
      <c r="AZ37" s="306"/>
      <c r="BA37" s="356">
        <v>1</v>
      </c>
    </row>
    <row r="38" spans="1:53" ht="14.65" customHeight="1">
      <c r="Q38" s="229"/>
      <c r="R38" s="314"/>
      <c r="S38" s="1203"/>
      <c r="T38" s="301"/>
      <c r="U38" s="1172"/>
      <c r="V38" s="2206"/>
      <c r="W38" s="2206"/>
      <c r="X38" s="2206"/>
      <c r="Y38" s="2206"/>
      <c r="Z38" s="2206"/>
      <c r="AA38" s="2206"/>
      <c r="AB38" s="2206"/>
      <c r="AC38" s="2206"/>
      <c r="AD38" s="2206"/>
      <c r="AE38" s="2206"/>
      <c r="AF38" s="2206"/>
      <c r="AG38" s="2206"/>
      <c r="AH38" s="2206"/>
      <c r="AI38" s="2206"/>
      <c r="AJ38" s="2206"/>
      <c r="AK38" s="2206"/>
      <c r="AL38" s="2206"/>
      <c r="AM38" s="2206"/>
      <c r="AN38" s="2206"/>
      <c r="AO38" s="2206"/>
      <c r="AP38" s="2206"/>
      <c r="AQ38" s="2206"/>
      <c r="AR38" s="2206"/>
      <c r="AS38" s="2206"/>
      <c r="BA38" s="1083">
        <v>14</v>
      </c>
    </row>
    <row r="39" spans="1:53" ht="14.65" customHeight="1">
      <c r="Q39" s="229"/>
      <c r="R39" s="314"/>
      <c r="S39" s="2066" t="s">
        <v>298</v>
      </c>
      <c r="T39" s="2066"/>
      <c r="U39" s="2066"/>
      <c r="V39" s="2066"/>
      <c r="W39" s="2066"/>
      <c r="X39" s="2066"/>
      <c r="Y39" s="2066"/>
      <c r="Z39" s="2066"/>
      <c r="AA39" s="2066"/>
      <c r="AB39" s="2125"/>
      <c r="AC39" s="2125"/>
      <c r="AD39" s="2125"/>
      <c r="AE39" s="2125"/>
      <c r="AF39" s="2066"/>
      <c r="AG39" s="2066"/>
      <c r="AH39" s="2066"/>
      <c r="AI39" s="2066"/>
      <c r="AJ39" s="2066"/>
      <c r="AK39" s="2066"/>
      <c r="AL39" s="2066"/>
      <c r="AM39" s="2066"/>
      <c r="AN39" s="2066"/>
      <c r="AO39" s="2066"/>
      <c r="AP39" s="2066"/>
      <c r="AQ39" s="2066"/>
      <c r="AR39" s="2066"/>
      <c r="AS39" s="2066"/>
      <c r="AT39" s="2066"/>
      <c r="AU39" s="2066" t="s">
        <v>299</v>
      </c>
      <c r="BA39" s="1083">
        <v>14</v>
      </c>
    </row>
    <row r="40" spans="1:53" ht="14.65" customHeight="1">
      <c r="Q40" s="229"/>
      <c r="R40" s="314"/>
      <c r="S40" s="2207" t="s">
        <v>87</v>
      </c>
      <c r="T40" s="2155" t="s">
        <v>471</v>
      </c>
      <c r="U40" s="239"/>
      <c r="V40" s="2209"/>
      <c r="W40" s="2209"/>
      <c r="X40" s="2209"/>
      <c r="Y40" s="2209"/>
      <c r="Z40" s="2210"/>
      <c r="AA40" s="2256" t="s">
        <v>428</v>
      </c>
      <c r="AB40" s="2240" t="s">
        <v>472</v>
      </c>
      <c r="AC40" s="2224"/>
      <c r="AD40" s="2224"/>
      <c r="AE40" s="2241"/>
      <c r="AF40" s="2224" t="s">
        <v>473</v>
      </c>
      <c r="AG40" s="2224"/>
      <c r="AH40" s="2224"/>
      <c r="AI40" s="2241"/>
      <c r="AJ40" s="2240" t="s">
        <v>474</v>
      </c>
      <c r="AK40" s="2224"/>
      <c r="AL40" s="2224"/>
      <c r="AM40" s="2241"/>
      <c r="AN40" s="2240" t="s">
        <v>427</v>
      </c>
      <c r="AO40" s="2224"/>
      <c r="AP40" s="2209"/>
      <c r="AQ40" s="2209"/>
      <c r="AR40" s="2210"/>
      <c r="AS40" s="2211" t="s">
        <v>428</v>
      </c>
      <c r="AT40" s="2214" t="s">
        <v>430</v>
      </c>
      <c r="AU40" s="2066"/>
      <c r="BA40" s="1083">
        <v>14</v>
      </c>
    </row>
    <row r="41" spans="1:53" ht="35.65" customHeight="1">
      <c r="Q41" s="229"/>
      <c r="R41" s="314"/>
      <c r="S41" s="2207"/>
      <c r="T41" s="2155"/>
      <c r="U41" s="962"/>
      <c r="V41" s="2066" t="s">
        <v>475</v>
      </c>
      <c r="W41" s="2066"/>
      <c r="X41" s="2126" t="s">
        <v>434</v>
      </c>
      <c r="Y41" s="2236"/>
      <c r="Z41" s="2127"/>
      <c r="AA41" s="2257"/>
      <c r="AB41" s="2242"/>
      <c r="AC41" s="2243"/>
      <c r="AD41" s="2243"/>
      <c r="AE41" s="2255"/>
      <c r="AF41" s="2243"/>
      <c r="AG41" s="2243"/>
      <c r="AH41" s="2243"/>
      <c r="AI41" s="2255"/>
      <c r="AJ41" s="2242"/>
      <c r="AK41" s="2243"/>
      <c r="AL41" s="2243"/>
      <c r="AM41" s="2243"/>
      <c r="AN41" s="2066" t="s">
        <v>475</v>
      </c>
      <c r="AO41" s="2066"/>
      <c r="AP41" s="2236" t="s">
        <v>434</v>
      </c>
      <c r="AQ41" s="2236"/>
      <c r="AR41" s="2127"/>
      <c r="AS41" s="2212"/>
      <c r="AT41" s="2215"/>
      <c r="AU41" s="2066"/>
      <c r="BA41" s="1083">
        <v>34</v>
      </c>
    </row>
    <row r="42" spans="1:53" ht="14.65" customHeight="1">
      <c r="Q42" s="229"/>
      <c r="R42" s="314"/>
      <c r="S42" s="2207"/>
      <c r="T42" s="2155"/>
      <c r="U42" s="962"/>
      <c r="V42" s="2260" t="str">
        <f>IF($AN$42&lt;&gt;"",$AN$42,"")</f>
        <v/>
      </c>
      <c r="W42" s="2260"/>
      <c r="X42" s="2131"/>
      <c r="Y42" s="2237"/>
      <c r="Z42" s="2132"/>
      <c r="AA42" s="2257"/>
      <c r="AB42" s="2242"/>
      <c r="AC42" s="2243"/>
      <c r="AD42" s="2243"/>
      <c r="AE42" s="2255"/>
      <c r="AF42" s="2243"/>
      <c r="AG42" s="2243"/>
      <c r="AH42" s="2243"/>
      <c r="AI42" s="2255"/>
      <c r="AJ42" s="2242"/>
      <c r="AK42" s="2243"/>
      <c r="AL42" s="2243"/>
      <c r="AM42" s="2243"/>
      <c r="AN42" s="2259"/>
      <c r="AO42" s="2259"/>
      <c r="AP42" s="2237"/>
      <c r="AQ42" s="2237"/>
      <c r="AR42" s="2132"/>
      <c r="AS42" s="2212"/>
      <c r="AT42" s="2215"/>
      <c r="AU42" s="2066"/>
      <c r="BA42" s="1083">
        <v>14</v>
      </c>
    </row>
    <row r="43" spans="1:53" ht="14.65" customHeight="1">
      <c r="A43" s="1298"/>
      <c r="B43" s="1298" t="s">
        <v>135</v>
      </c>
      <c r="C43" s="1298" t="s">
        <v>136</v>
      </c>
      <c r="D43" s="1298" t="s">
        <v>137</v>
      </c>
      <c r="E43" s="1292" t="s">
        <v>435</v>
      </c>
      <c r="F43" s="1292" t="s">
        <v>436</v>
      </c>
      <c r="G43" s="1292" t="s">
        <v>437</v>
      </c>
      <c r="H43" s="1292" t="s">
        <v>438</v>
      </c>
      <c r="I43" s="1292" t="s">
        <v>439</v>
      </c>
      <c r="J43" s="1292" t="s">
        <v>440</v>
      </c>
      <c r="K43" s="1292" t="s">
        <v>441</v>
      </c>
      <c r="L43" s="1292" t="s">
        <v>416</v>
      </c>
      <c r="Q43" s="229"/>
      <c r="R43" s="314"/>
      <c r="S43" s="2207"/>
      <c r="T43" s="2155"/>
      <c r="U43" s="240"/>
      <c r="V43" s="1258" t="s">
        <v>476</v>
      </c>
      <c r="W43" s="1258" t="s">
        <v>477</v>
      </c>
      <c r="X43" s="1266" t="s">
        <v>444</v>
      </c>
      <c r="Y43" s="2160" t="s">
        <v>445</v>
      </c>
      <c r="Z43" s="2174"/>
      <c r="AA43" s="2258"/>
      <c r="AB43" s="2244"/>
      <c r="AC43" s="2245"/>
      <c r="AD43" s="2245"/>
      <c r="AE43" s="2246"/>
      <c r="AF43" s="2245"/>
      <c r="AG43" s="2245"/>
      <c r="AH43" s="2245"/>
      <c r="AI43" s="2246"/>
      <c r="AJ43" s="2244"/>
      <c r="AK43" s="2245"/>
      <c r="AL43" s="2245"/>
      <c r="AM43" s="2246"/>
      <c r="AN43" s="1786" t="s">
        <v>476</v>
      </c>
      <c r="AO43" s="1786" t="s">
        <v>477</v>
      </c>
      <c r="AP43" s="1266" t="s">
        <v>444</v>
      </c>
      <c r="AQ43" s="2160" t="s">
        <v>445</v>
      </c>
      <c r="AR43" s="2174"/>
      <c r="AS43" s="2213"/>
      <c r="AT43" s="2216"/>
      <c r="AU43" s="2066"/>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108</v>
      </c>
      <c r="T44" s="1183" t="s">
        <v>109</v>
      </c>
      <c r="U44" s="1173" t="str">
        <f ca="1">OFFSET(U44,0,-1)</f>
        <v>2</v>
      </c>
      <c r="V44" s="1263">
        <f ca="1">OFFSET(V44,0,-1)+1</f>
        <v>3</v>
      </c>
      <c r="W44" s="1263">
        <f ca="1">OFFSET(W44,0,-1)+1</f>
        <v>4</v>
      </c>
      <c r="X44" s="1263">
        <f ca="1">OFFSET(X44,0,-1)+1</f>
        <v>5</v>
      </c>
      <c r="Y44" s="2205">
        <f ca="1">OFFSET(Y44,0,-1)+1</f>
        <v>6</v>
      </c>
      <c r="Z44" s="2205"/>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205">
        <f ca="1">OFFSET(AQ44,0,-1)+1</f>
        <v>4</v>
      </c>
      <c r="AR44" s="2205"/>
      <c r="AS44" s="1263">
        <f ca="1">OFFSET(AS44,0,-2)+1</f>
        <v>5</v>
      </c>
      <c r="AT44" s="1173">
        <f ca="1">OFFSET(AT44,0,-1)</f>
        <v>5</v>
      </c>
      <c r="AU44" s="1263">
        <f ca="1">OFFSET(AU44,0,-1)+1</f>
        <v>6</v>
      </c>
      <c r="AV44" s="449"/>
      <c r="AW44" s="449"/>
      <c r="AX44" s="449"/>
      <c r="AY44" s="449"/>
      <c r="AZ44" s="449"/>
      <c r="BA44" s="434">
        <v>0</v>
      </c>
    </row>
    <row r="45" spans="1:53" ht="107.25" customHeight="1">
      <c r="A45" s="1291" t="s">
        <v>198</v>
      </c>
      <c r="B45" s="1291"/>
      <c r="C45" s="1291"/>
      <c r="D45" s="1291"/>
      <c r="E45" s="2194">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123</v>
      </c>
      <c r="U45" s="238"/>
      <c r="V45" s="2189"/>
      <c r="W45" s="2189"/>
      <c r="X45" s="2189"/>
      <c r="Y45" s="2189"/>
      <c r="Z45" s="2189"/>
      <c r="AA45" s="2190"/>
      <c r="AB45" s="2188" t="str">
        <f>INDEX(PT_DIFFERENTIATION_NTAR,MATCH(A45,PT_DIFFERENTIATION_NTAR_ID,0))</f>
        <v/>
      </c>
      <c r="AC45" s="2189"/>
      <c r="AD45" s="2189"/>
      <c r="AE45" s="2189"/>
      <c r="AF45" s="2189"/>
      <c r="AG45" s="2189"/>
      <c r="AH45" s="2189"/>
      <c r="AI45" s="2189"/>
      <c r="AJ45" s="2189"/>
      <c r="AK45" s="2189"/>
      <c r="AL45" s="2189"/>
      <c r="AM45" s="2189"/>
      <c r="AN45" s="2189"/>
      <c r="AO45" s="2189"/>
      <c r="AP45" s="2189"/>
      <c r="AQ45" s="2189"/>
      <c r="AR45" s="2189"/>
      <c r="AS45" s="2189"/>
      <c r="AT45" s="2190"/>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3">
        <v>102</v>
      </c>
    </row>
    <row r="46" spans="1:53" ht="21.95" customHeight="1">
      <c r="A46" s="1291" t="s">
        <v>198</v>
      </c>
      <c r="B46" s="1291" t="s">
        <v>199</v>
      </c>
      <c r="C46" s="1291"/>
      <c r="D46" s="1291"/>
      <c r="E46" s="2195"/>
      <c r="F46" s="2194">
        <v>1</v>
      </c>
      <c r="G46" s="1291"/>
      <c r="H46" s="1291"/>
      <c r="I46" s="1291"/>
      <c r="J46" s="1291"/>
      <c r="K46" s="1291"/>
      <c r="L46" s="1292"/>
      <c r="M46" s="1293"/>
      <c r="N46" s="1293"/>
      <c r="O46" s="1293"/>
      <c r="P46" s="1338"/>
      <c r="Q46" s="1339"/>
      <c r="R46" s="291"/>
      <c r="S46" s="1264" t="str">
        <f>INDEX(PT_DIFFERENTIATION_NUM_TER,MATCH(B46,PT_DIFFERENTIATION_TER_ID,0))</f>
        <v>.</v>
      </c>
      <c r="T46" s="246" t="s">
        <v>395</v>
      </c>
      <c r="U46" s="238"/>
      <c r="V46" s="2189"/>
      <c r="W46" s="2189"/>
      <c r="X46" s="2189"/>
      <c r="Y46" s="2189"/>
      <c r="Z46" s="2189"/>
      <c r="AA46" s="2190"/>
      <c r="AB46" s="2188" t="str">
        <f>INDEX(PT_DIFFERENTIATION_TER,MATCH(B46,PT_DIFFERENTIATION_TER_ID,0))</f>
        <v/>
      </c>
      <c r="AC46" s="2189"/>
      <c r="AD46" s="2189"/>
      <c r="AE46" s="2189"/>
      <c r="AF46" s="2189"/>
      <c r="AG46" s="2189"/>
      <c r="AH46" s="2189"/>
      <c r="AI46" s="2189"/>
      <c r="AJ46" s="2189"/>
      <c r="AK46" s="2189"/>
      <c r="AL46" s="2189"/>
      <c r="AM46" s="2189"/>
      <c r="AN46" s="2189"/>
      <c r="AO46" s="2189"/>
      <c r="AP46" s="2189"/>
      <c r="AQ46" s="2189"/>
      <c r="AR46" s="2189"/>
      <c r="AS46" s="2189"/>
      <c r="AT46" s="2190"/>
      <c r="AU46" s="1186" t="s">
        <v>396</v>
      </c>
      <c r="AW46" s="438"/>
      <c r="AX46" s="438" t="str">
        <f t="shared" si="2"/>
        <v>Территория действия тарифа</v>
      </c>
      <c r="AY46" s="438"/>
      <c r="AZ46" s="438"/>
      <c r="BA46" s="1083">
        <v>21</v>
      </c>
    </row>
    <row r="47" spans="1:53" ht="24" customHeight="1">
      <c r="A47" s="1291" t="s">
        <v>198</v>
      </c>
      <c r="B47" s="1291" t="s">
        <v>199</v>
      </c>
      <c r="C47" s="1291" t="s">
        <v>200</v>
      </c>
      <c r="D47" s="1291"/>
      <c r="E47" s="2195"/>
      <c r="F47" s="2195"/>
      <c r="G47" s="2194">
        <v>1</v>
      </c>
      <c r="H47" s="1291"/>
      <c r="I47" s="1291"/>
      <c r="J47" s="1291"/>
      <c r="K47" s="1291"/>
      <c r="L47" s="1292"/>
      <c r="M47" s="1293"/>
      <c r="N47" s="1293"/>
      <c r="O47" s="1293"/>
      <c r="P47" s="1340"/>
      <c r="Q47" s="1339"/>
      <c r="R47" s="291"/>
      <c r="S47" s="1264" t="str">
        <f>INDEX(PT_DIFFERENTIATION_NUM_CS,MATCH(C47,PT_DIFFERENTIATION_CS_ID,0))</f>
        <v>..</v>
      </c>
      <c r="T47" s="247" t="s">
        <v>397</v>
      </c>
      <c r="U47" s="238"/>
      <c r="V47" s="2189"/>
      <c r="W47" s="2189"/>
      <c r="X47" s="2189"/>
      <c r="Y47" s="2189"/>
      <c r="Z47" s="2189"/>
      <c r="AA47" s="2190"/>
      <c r="AB47" s="2188" t="str">
        <f>INDEX(PT_DIFFERENTIATION_CS,MATCH(C47,PT_DIFFERENTIATION_CS_ID,0))</f>
        <v/>
      </c>
      <c r="AC47" s="2189"/>
      <c r="AD47" s="2189"/>
      <c r="AE47" s="2189"/>
      <c r="AF47" s="2189"/>
      <c r="AG47" s="2189"/>
      <c r="AH47" s="2189"/>
      <c r="AI47" s="2189"/>
      <c r="AJ47" s="2189"/>
      <c r="AK47" s="2189"/>
      <c r="AL47" s="2189"/>
      <c r="AM47" s="2189"/>
      <c r="AN47" s="2189"/>
      <c r="AO47" s="2189"/>
      <c r="AP47" s="2189"/>
      <c r="AQ47" s="2189"/>
      <c r="AR47" s="2189"/>
      <c r="AS47" s="2189"/>
      <c r="AT47" s="2190"/>
      <c r="AU47" s="1186" t="s">
        <v>398</v>
      </c>
      <c r="AW47" s="438"/>
      <c r="AX47" s="438" t="str">
        <f t="shared" si="2"/>
        <v xml:space="preserve">Наименование системы теплоснабжения </v>
      </c>
      <c r="AY47" s="438"/>
      <c r="AZ47" s="438"/>
      <c r="BA47" s="1083">
        <v>23</v>
      </c>
    </row>
    <row r="48" spans="1:53" ht="21" customHeight="1">
      <c r="A48" s="1291" t="s">
        <v>198</v>
      </c>
      <c r="B48" s="1291" t="s">
        <v>199</v>
      </c>
      <c r="C48" s="1291" t="s">
        <v>200</v>
      </c>
      <c r="D48" s="1291" t="s">
        <v>201</v>
      </c>
      <c r="E48" s="2195"/>
      <c r="F48" s="2195"/>
      <c r="G48" s="2195"/>
      <c r="H48" s="2194">
        <v>1</v>
      </c>
      <c r="I48" s="1291"/>
      <c r="J48" s="1291"/>
      <c r="K48" s="1291"/>
      <c r="L48" s="1292"/>
      <c r="M48" s="1293"/>
      <c r="N48" s="1293"/>
      <c r="O48" s="1293"/>
      <c r="P48" s="1340"/>
      <c r="Q48" s="1339"/>
      <c r="R48" s="291"/>
      <c r="S48" s="1264" t="str">
        <f>INDEX(PT_DIFFERENTIATION_NUM_IST_TE,MATCH(D48,PT_DIFFERENTIATION_IST_TE_ID,0))</f>
        <v>...</v>
      </c>
      <c r="T48" s="248" t="s">
        <v>399</v>
      </c>
      <c r="U48" s="238"/>
      <c r="V48" s="2189"/>
      <c r="W48" s="2189"/>
      <c r="X48" s="2189"/>
      <c r="Y48" s="2189"/>
      <c r="Z48" s="2189"/>
      <c r="AA48" s="2190"/>
      <c r="AB48" s="2188" t="str">
        <f>INDEX(PT_DIFFERENTIATION_IST_TE,MATCH(D48,PT_DIFFERENTIATION_IST_TE_ID,0))</f>
        <v/>
      </c>
      <c r="AC48" s="2189"/>
      <c r="AD48" s="2189"/>
      <c r="AE48" s="2189"/>
      <c r="AF48" s="2189"/>
      <c r="AG48" s="2189"/>
      <c r="AH48" s="2189"/>
      <c r="AI48" s="2189"/>
      <c r="AJ48" s="2189"/>
      <c r="AK48" s="2189"/>
      <c r="AL48" s="2189"/>
      <c r="AM48" s="2189"/>
      <c r="AN48" s="2189"/>
      <c r="AO48" s="2189"/>
      <c r="AP48" s="2189"/>
      <c r="AQ48" s="2189"/>
      <c r="AR48" s="2189"/>
      <c r="AS48" s="2189"/>
      <c r="AT48" s="2190"/>
      <c r="AU48" s="1186" t="s">
        <v>400</v>
      </c>
      <c r="AW48" s="438"/>
      <c r="AX48" s="438" t="str">
        <f t="shared" si="2"/>
        <v xml:space="preserve">Источник тепловой энергии  </v>
      </c>
      <c r="AY48" s="438"/>
      <c r="AZ48" s="438"/>
      <c r="BA48" s="1083">
        <v>20</v>
      </c>
    </row>
    <row r="49" spans="1:53" s="1570" customFormat="1" ht="1.1499999999999999" customHeight="1">
      <c r="A49" s="1271" t="s">
        <v>198</v>
      </c>
      <c r="B49" s="1271" t="s">
        <v>199</v>
      </c>
      <c r="C49" s="1271" t="s">
        <v>200</v>
      </c>
      <c r="D49" s="1271" t="s">
        <v>201</v>
      </c>
      <c r="E49" s="2195"/>
      <c r="F49" s="2195"/>
      <c r="G49" s="2195"/>
      <c r="H49" s="2195"/>
      <c r="I49" s="2196" t="str">
        <f>S48&amp;".1"</f>
        <v>....1</v>
      </c>
      <c r="J49" s="1271"/>
      <c r="K49" s="1271"/>
      <c r="L49" s="1274" t="s">
        <v>401</v>
      </c>
      <c r="M49" s="448"/>
      <c r="N49" s="448"/>
      <c r="O49" s="448"/>
      <c r="P49" s="2198">
        <v>1</v>
      </c>
      <c r="Q49" s="1259"/>
      <c r="R49" s="294"/>
      <c r="S49" s="973"/>
      <c r="T49" s="1311"/>
      <c r="U49" s="1312"/>
      <c r="V49" s="2226"/>
      <c r="W49" s="2226"/>
      <c r="X49" s="2226"/>
      <c r="Y49" s="2226"/>
      <c r="Z49" s="2226"/>
      <c r="AA49" s="2227"/>
      <c r="AB49" s="2225"/>
      <c r="AC49" s="2226"/>
      <c r="AD49" s="2226"/>
      <c r="AE49" s="2226"/>
      <c r="AF49" s="2226"/>
      <c r="AG49" s="2226"/>
      <c r="AH49" s="2226"/>
      <c r="AI49" s="2226"/>
      <c r="AJ49" s="2226"/>
      <c r="AK49" s="2226"/>
      <c r="AL49" s="2226"/>
      <c r="AM49" s="2226"/>
      <c r="AN49" s="2226"/>
      <c r="AO49" s="2226"/>
      <c r="AP49" s="2226"/>
      <c r="AQ49" s="2226"/>
      <c r="AR49" s="2226"/>
      <c r="AS49" s="2226"/>
      <c r="AT49" s="2227"/>
      <c r="AU49" s="1313"/>
      <c r="AW49" s="438"/>
      <c r="AX49" s="438" t="str">
        <f t="shared" si="2"/>
        <v/>
      </c>
      <c r="AY49" s="438"/>
      <c r="AZ49" s="438"/>
      <c r="BA49" s="449">
        <v>1</v>
      </c>
    </row>
    <row r="50" spans="1:53" s="1570" customFormat="1" ht="1.1499999999999999" customHeight="1">
      <c r="A50" s="1271" t="s">
        <v>198</v>
      </c>
      <c r="B50" s="1271" t="s">
        <v>199</v>
      </c>
      <c r="C50" s="1271" t="s">
        <v>200</v>
      </c>
      <c r="D50" s="1271" t="s">
        <v>201</v>
      </c>
      <c r="E50" s="2195"/>
      <c r="F50" s="2195"/>
      <c r="G50" s="2195"/>
      <c r="H50" s="2195"/>
      <c r="I50" s="2197"/>
      <c r="J50" s="2196" t="str">
        <f>S48&amp;".1"</f>
        <v>....1</v>
      </c>
      <c r="K50" s="1271"/>
      <c r="L50" s="1274"/>
      <c r="M50" s="448"/>
      <c r="N50" s="448"/>
      <c r="O50" s="448"/>
      <c r="P50" s="2198"/>
      <c r="Q50" s="2198">
        <v>1</v>
      </c>
      <c r="R50" s="295"/>
      <c r="S50" s="973"/>
      <c r="T50" s="1327"/>
      <c r="U50" s="1312"/>
      <c r="V50" s="2226"/>
      <c r="W50" s="2226"/>
      <c r="X50" s="2226"/>
      <c r="Y50" s="2226"/>
      <c r="Z50" s="2226"/>
      <c r="AA50" s="2227"/>
      <c r="AB50" s="2225"/>
      <c r="AC50" s="2226"/>
      <c r="AD50" s="2226"/>
      <c r="AE50" s="2226"/>
      <c r="AF50" s="2226"/>
      <c r="AG50" s="2226"/>
      <c r="AH50" s="2226"/>
      <c r="AI50" s="2226"/>
      <c r="AJ50" s="2226"/>
      <c r="AK50" s="2226"/>
      <c r="AL50" s="2226"/>
      <c r="AM50" s="2226"/>
      <c r="AN50" s="2226"/>
      <c r="AO50" s="2226"/>
      <c r="AP50" s="2226"/>
      <c r="AQ50" s="2226"/>
      <c r="AR50" s="2226"/>
      <c r="AS50" s="2226"/>
      <c r="AT50" s="2227"/>
      <c r="AU50" s="1313"/>
      <c r="AW50" s="438"/>
      <c r="AX50" s="438" t="str">
        <f t="shared" si="2"/>
        <v/>
      </c>
      <c r="AY50" s="438"/>
      <c r="AZ50" s="438"/>
      <c r="BA50" s="449">
        <v>1</v>
      </c>
    </row>
    <row r="51" spans="1:53" ht="21.95" customHeight="1">
      <c r="A51" s="1291" t="s">
        <v>198</v>
      </c>
      <c r="B51" s="1291" t="s">
        <v>199</v>
      </c>
      <c r="C51" s="1291" t="s">
        <v>200</v>
      </c>
      <c r="D51" s="1291" t="s">
        <v>201</v>
      </c>
      <c r="E51" s="2195"/>
      <c r="F51" s="2195"/>
      <c r="G51" s="2195"/>
      <c r="H51" s="2195"/>
      <c r="I51" s="2197"/>
      <c r="J51" s="2197"/>
      <c r="K51" s="2196" t="str">
        <f>S48&amp;".1"</f>
        <v>....1</v>
      </c>
      <c r="L51" s="1292"/>
      <c r="P51" s="2198"/>
      <c r="Q51" s="2198"/>
      <c r="R51" s="295">
        <v>1</v>
      </c>
      <c r="S51" s="2251" t="str">
        <f>$K51</f>
        <v>....1</v>
      </c>
      <c r="T51" s="2248"/>
      <c r="U51" s="238"/>
      <c r="V51" s="689"/>
      <c r="W51" s="1185"/>
      <c r="X51" s="1661"/>
      <c r="Y51" s="1387" t="s">
        <v>65</v>
      </c>
      <c r="Z51" s="1661"/>
      <c r="AA51" s="1387" t="s">
        <v>65</v>
      </c>
      <c r="AB51" s="2076" t="s">
        <v>19</v>
      </c>
      <c r="AC51" s="2247"/>
      <c r="AD51" s="2151">
        <v>1</v>
      </c>
      <c r="AE51" s="2239" t="s">
        <v>22</v>
      </c>
      <c r="AF51" s="2076" t="s">
        <v>19</v>
      </c>
      <c r="AG51" s="2247"/>
      <c r="AH51" s="2151">
        <v>1</v>
      </c>
      <c r="AI51" s="2239" t="s">
        <v>22</v>
      </c>
      <c r="AJ51" s="2076" t="s">
        <v>19</v>
      </c>
      <c r="AK51" s="249"/>
      <c r="AL51" s="1265">
        <v>1</v>
      </c>
      <c r="AM51" s="1330"/>
      <c r="AN51" s="689"/>
      <c r="AO51" s="1185"/>
      <c r="AP51" s="1661"/>
      <c r="AQ51" s="1387" t="s">
        <v>65</v>
      </c>
      <c r="AR51" s="1661"/>
      <c r="AS51" s="1387" t="s">
        <v>65</v>
      </c>
      <c r="AT51" s="1276"/>
      <c r="AU51" s="2217" t="s">
        <v>478</v>
      </c>
      <c r="AV51" s="449" t="e">
        <f ca="1">STRCHECKDATE(V54:AT54)</f>
        <v>#NAME?</v>
      </c>
      <c r="AW51" s="438"/>
      <c r="AX51" s="438" t="str">
        <f t="shared" si="2"/>
        <v/>
      </c>
      <c r="AY51" s="438"/>
      <c r="AZ51" s="438"/>
      <c r="BA51" s="1083">
        <v>21</v>
      </c>
    </row>
    <row r="52" spans="1:53" ht="11.45" customHeight="1">
      <c r="A52" s="1291" t="s">
        <v>198</v>
      </c>
      <c r="B52" s="1291"/>
      <c r="C52" s="1291"/>
      <c r="D52" s="1291"/>
      <c r="E52" s="2195"/>
      <c r="F52" s="2195"/>
      <c r="G52" s="2195"/>
      <c r="H52" s="2195"/>
      <c r="I52" s="2197"/>
      <c r="J52" s="2197"/>
      <c r="K52" s="2196"/>
      <c r="L52" s="1292"/>
      <c r="P52" s="2198"/>
      <c r="Q52" s="2198"/>
      <c r="R52" s="295"/>
      <c r="S52" s="2252"/>
      <c r="T52" s="2249"/>
      <c r="U52" s="238"/>
      <c r="V52" s="1321"/>
      <c r="W52" s="1424"/>
      <c r="X52" s="1321"/>
      <c r="Y52" s="1321"/>
      <c r="Z52" s="1321"/>
      <c r="AA52" s="1321"/>
      <c r="AB52" s="2076"/>
      <c r="AC52" s="2247"/>
      <c r="AD52" s="2151"/>
      <c r="AE52" s="2239"/>
      <c r="AF52" s="2076"/>
      <c r="AG52" s="2247"/>
      <c r="AH52" s="2151"/>
      <c r="AI52" s="2239"/>
      <c r="AJ52" s="2076"/>
      <c r="AK52" s="254"/>
      <c r="AL52" s="354"/>
      <c r="AM52" s="353" t="s">
        <v>463</v>
      </c>
      <c r="AN52" s="1321"/>
      <c r="AO52" s="1424"/>
      <c r="AP52" s="1321"/>
      <c r="AQ52" s="1321"/>
      <c r="AR52" s="1321"/>
      <c r="AS52" s="1321"/>
      <c r="AT52" s="1318"/>
      <c r="AU52" s="2218"/>
      <c r="AW52" s="438"/>
      <c r="AX52" s="438"/>
      <c r="AY52" s="438"/>
      <c r="AZ52" s="438"/>
      <c r="BA52" s="1083">
        <v>11</v>
      </c>
    </row>
    <row r="53" spans="1:53" ht="11.45" customHeight="1">
      <c r="A53" s="1291" t="s">
        <v>198</v>
      </c>
      <c r="B53" s="1291"/>
      <c r="C53" s="1291"/>
      <c r="D53" s="1291"/>
      <c r="E53" s="2195"/>
      <c r="F53" s="2195"/>
      <c r="G53" s="2195"/>
      <c r="H53" s="2195"/>
      <c r="I53" s="2197"/>
      <c r="J53" s="2197"/>
      <c r="K53" s="2196"/>
      <c r="L53" s="1292"/>
      <c r="P53" s="2198"/>
      <c r="Q53" s="2198"/>
      <c r="R53" s="295"/>
      <c r="S53" s="2252"/>
      <c r="T53" s="2249"/>
      <c r="U53" s="238"/>
      <c r="V53" s="1321"/>
      <c r="W53" s="1424"/>
      <c r="X53" s="1321"/>
      <c r="Y53" s="1321"/>
      <c r="Z53" s="1321"/>
      <c r="AA53" s="1321"/>
      <c r="AB53" s="2076"/>
      <c r="AC53" s="2247"/>
      <c r="AD53" s="2151"/>
      <c r="AE53" s="2239"/>
      <c r="AF53" s="2076"/>
      <c r="AG53" s="232"/>
      <c r="AH53" s="353"/>
      <c r="AI53" s="353" t="s">
        <v>464</v>
      </c>
      <c r="AJ53" s="1321"/>
      <c r="AK53" s="1321"/>
      <c r="AL53" s="1321"/>
      <c r="AM53" s="1321"/>
      <c r="AN53" s="1321"/>
      <c r="AO53" s="1424"/>
      <c r="AP53" s="1321"/>
      <c r="AQ53" s="1321"/>
      <c r="AR53" s="1321"/>
      <c r="AS53" s="1321"/>
      <c r="AT53" s="1318"/>
      <c r="AU53" s="2218"/>
      <c r="AW53" s="438"/>
      <c r="AX53" s="438"/>
      <c r="AY53" s="438"/>
      <c r="AZ53" s="438"/>
      <c r="BA53" s="1083">
        <v>11</v>
      </c>
    </row>
    <row r="54" spans="1:53" ht="11.45" customHeight="1">
      <c r="A54" s="1291" t="s">
        <v>198</v>
      </c>
      <c r="B54" s="1291" t="s">
        <v>199</v>
      </c>
      <c r="C54" s="1291" t="s">
        <v>200</v>
      </c>
      <c r="D54" s="1291" t="s">
        <v>201</v>
      </c>
      <c r="E54" s="2195"/>
      <c r="F54" s="2195"/>
      <c r="G54" s="2195"/>
      <c r="H54" s="2195"/>
      <c r="I54" s="2197"/>
      <c r="J54" s="2197"/>
      <c r="K54" s="2196"/>
      <c r="L54" s="1292"/>
      <c r="P54" s="2198"/>
      <c r="Q54" s="2198"/>
      <c r="R54" s="295"/>
      <c r="S54" s="2253"/>
      <c r="T54" s="2250"/>
      <c r="U54" s="238"/>
      <c r="V54" s="1321"/>
      <c r="W54" s="1322" t="str">
        <f>X51&amp;"-"&amp;Z51</f>
        <v>-</v>
      </c>
      <c r="X54" s="1321"/>
      <c r="Y54" s="1321"/>
      <c r="Z54" s="1321"/>
      <c r="AA54" s="1321"/>
      <c r="AB54" s="2076"/>
      <c r="AC54" s="250"/>
      <c r="AD54" s="252"/>
      <c r="AE54" s="353" t="s">
        <v>465</v>
      </c>
      <c r="AF54" s="1321"/>
      <c r="AG54" s="1321"/>
      <c r="AH54" s="1321"/>
      <c r="AI54" s="1321"/>
      <c r="AJ54" s="1321"/>
      <c r="AK54" s="1321"/>
      <c r="AL54" s="1321"/>
      <c r="AM54" s="1321"/>
      <c r="AN54" s="1321"/>
      <c r="AO54" s="1322" t="str">
        <f>AP51&amp;"-"&amp;AR51</f>
        <v>-</v>
      </c>
      <c r="AP54" s="1321"/>
      <c r="AQ54" s="1321"/>
      <c r="AR54" s="1321"/>
      <c r="AS54" s="1321"/>
      <c r="AT54" s="1277"/>
      <c r="AU54" s="2218"/>
      <c r="AW54" s="438"/>
      <c r="AX54" s="438" t="str">
        <f t="shared" ref="AX54:AX62" si="3">IF(T54="","",T54)</f>
        <v/>
      </c>
      <c r="AY54" s="438"/>
      <c r="AZ54" s="438"/>
      <c r="BA54" s="1083">
        <v>11</v>
      </c>
    </row>
    <row r="55" spans="1:53" ht="11.45" customHeight="1">
      <c r="A55" s="1291" t="s">
        <v>198</v>
      </c>
      <c r="B55" s="1291" t="s">
        <v>199</v>
      </c>
      <c r="C55" s="1291" t="s">
        <v>200</v>
      </c>
      <c r="D55" s="1291" t="s">
        <v>201</v>
      </c>
      <c r="E55" s="2195"/>
      <c r="F55" s="2195"/>
      <c r="G55" s="2195"/>
      <c r="H55" s="2195"/>
      <c r="I55" s="2197"/>
      <c r="J55" s="2196"/>
      <c r="K55" s="1291"/>
      <c r="L55" s="1292"/>
      <c r="P55" s="2198"/>
      <c r="Q55" s="2198"/>
      <c r="R55" s="294"/>
      <c r="S55" s="1206"/>
      <c r="T55" s="225" t="s">
        <v>466</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219"/>
      <c r="AW55" s="438"/>
      <c r="AX55" s="438" t="str">
        <f t="shared" si="3"/>
        <v>Добавить строку</v>
      </c>
      <c r="AY55" s="438"/>
      <c r="AZ55" s="438"/>
      <c r="BA55" s="1083">
        <v>11</v>
      </c>
    </row>
    <row r="56" spans="1:53" s="1570" customFormat="1" ht="1.1499999999999999" customHeight="1">
      <c r="A56" s="1271" t="s">
        <v>198</v>
      </c>
      <c r="B56" s="1271" t="s">
        <v>199</v>
      </c>
      <c r="C56" s="1271" t="s">
        <v>200</v>
      </c>
      <c r="D56" s="1271" t="s">
        <v>201</v>
      </c>
      <c r="E56" s="2195"/>
      <c r="F56" s="2195"/>
      <c r="G56" s="2195"/>
      <c r="H56" s="2195"/>
      <c r="I56" s="2196"/>
      <c r="J56" s="1271"/>
      <c r="K56" s="1271"/>
      <c r="L56" s="1274"/>
      <c r="M56" s="448"/>
      <c r="N56" s="448"/>
      <c r="O56" s="448"/>
      <c r="P56" s="2198"/>
      <c r="Q56" s="1259"/>
      <c r="R56" s="294"/>
      <c r="S56" s="1314"/>
      <c r="T56" s="1315" t="s">
        <v>410</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1499999999999999" customHeight="1">
      <c r="A57" s="1271" t="s">
        <v>198</v>
      </c>
      <c r="B57" s="1271" t="s">
        <v>199</v>
      </c>
      <c r="C57" s="1271" t="s">
        <v>200</v>
      </c>
      <c r="D57" s="1271" t="s">
        <v>201</v>
      </c>
      <c r="E57" s="2195"/>
      <c r="F57" s="2195"/>
      <c r="G57" s="2195"/>
      <c r="H57" s="2194"/>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1499999999999999" customHeight="1">
      <c r="A58" s="1271" t="s">
        <v>198</v>
      </c>
      <c r="B58" s="1271" t="s">
        <v>199</v>
      </c>
      <c r="C58" s="1271" t="s">
        <v>200</v>
      </c>
      <c r="D58" s="1242"/>
      <c r="E58" s="2195"/>
      <c r="F58" s="2195"/>
      <c r="G58" s="2194"/>
      <c r="H58" s="1242"/>
      <c r="I58" s="1242"/>
      <c r="J58" s="1242"/>
      <c r="K58" s="1242"/>
      <c r="L58" s="1267"/>
      <c r="M58" s="1243"/>
      <c r="N58" s="1243"/>
      <c r="P58" s="1244"/>
      <c r="Q58" s="1245"/>
      <c r="R58" s="1244"/>
      <c r="S58" s="1250"/>
      <c r="T58" s="1253" t="s">
        <v>412</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1499999999999999" customHeight="1">
      <c r="A59" s="1271" t="s">
        <v>198</v>
      </c>
      <c r="B59" s="1271" t="s">
        <v>199</v>
      </c>
      <c r="C59" s="1242"/>
      <c r="D59" s="1242"/>
      <c r="E59" s="2195"/>
      <c r="F59" s="2194"/>
      <c r="G59" s="1242"/>
      <c r="H59" s="1242"/>
      <c r="I59" s="1242"/>
      <c r="J59" s="1242"/>
      <c r="K59" s="1242"/>
      <c r="L59" s="1267"/>
      <c r="M59" s="1249"/>
      <c r="N59" s="1249"/>
      <c r="P59" s="1244"/>
      <c r="Q59" s="1245"/>
      <c r="R59" s="1244"/>
      <c r="S59" s="1250"/>
      <c r="T59" s="1253" t="s">
        <v>413</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1499999999999999" customHeight="1">
      <c r="A60" s="1271" t="s">
        <v>198</v>
      </c>
      <c r="B60" s="1271"/>
      <c r="C60" s="1271"/>
      <c r="D60" s="1271"/>
      <c r="E60" s="2195"/>
      <c r="F60" s="1271"/>
      <c r="G60" s="1271"/>
      <c r="H60" s="1271"/>
      <c r="I60" s="1271"/>
      <c r="J60" s="1271"/>
      <c r="K60" s="1271"/>
      <c r="L60" s="1274"/>
      <c r="M60" s="1249"/>
      <c r="N60" s="1249"/>
      <c r="O60" s="456"/>
      <c r="P60" s="318"/>
      <c r="Q60" s="1272"/>
      <c r="R60" s="318"/>
      <c r="S60" s="1250"/>
      <c r="T60" s="1253" t="s">
        <v>414</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1499999999999999" customHeight="1">
      <c r="A61" s="1271" t="s">
        <v>198</v>
      </c>
      <c r="B61" s="1271"/>
      <c r="C61" s="1271"/>
      <c r="D61" s="1271"/>
      <c r="E61" s="2194"/>
      <c r="F61" s="1271"/>
      <c r="G61" s="1271"/>
      <c r="H61" s="1271"/>
      <c r="I61" s="1271"/>
      <c r="J61" s="1271"/>
      <c r="K61" s="1271"/>
      <c r="L61" s="1274"/>
      <c r="M61" s="1249"/>
      <c r="N61" s="1249"/>
      <c r="O61" s="456"/>
      <c r="P61" s="318"/>
      <c r="Q61" s="1272"/>
      <c r="R61" s="318"/>
      <c r="S61" s="1250"/>
      <c r="T61" s="1253" t="s">
        <v>414</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1499999999999999" customHeight="1">
      <c r="A62" s="1242"/>
      <c r="B62" s="1242"/>
      <c r="C62" s="1242"/>
      <c r="D62" s="1242"/>
      <c r="E62" s="1271"/>
      <c r="F62" s="1242"/>
      <c r="G62" s="1242"/>
      <c r="H62" s="1242"/>
      <c r="I62" s="1242"/>
      <c r="J62" s="1242"/>
      <c r="K62" s="1242"/>
      <c r="L62" s="1267"/>
      <c r="M62" s="1249"/>
      <c r="N62" s="1249"/>
      <c r="P62" s="1244"/>
      <c r="Q62" s="1245"/>
      <c r="R62" s="1244"/>
      <c r="S62" s="1250"/>
      <c r="T62" s="1253" t="s">
        <v>446</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45" customHeight="1">
      <c r="M63" s="1088"/>
      <c r="N63" s="1088"/>
      <c r="O63" s="475"/>
      <c r="P63" s="1088"/>
      <c r="Q63" s="1088"/>
      <c r="R63" s="1083"/>
      <c r="S63" s="1083"/>
      <c r="AV63" s="1083"/>
      <c r="AW63" s="1083"/>
      <c r="AX63" s="1083"/>
      <c r="AY63" s="1083"/>
      <c r="AZ63" s="1083"/>
      <c r="BA63" s="1083">
        <v>11</v>
      </c>
    </row>
    <row r="64" spans="1:53" ht="19.899999999999999" customHeight="1">
      <c r="O64" s="475"/>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N64" s="2193"/>
      <c r="AO64" s="2193"/>
      <c r="AP64" s="2193"/>
      <c r="AQ64" s="2193"/>
      <c r="AR64" s="2193"/>
      <c r="AS64" s="2193"/>
      <c r="AT64" s="2193"/>
      <c r="AU64" s="2193"/>
      <c r="BA64" s="1083">
        <v>19</v>
      </c>
    </row>
    <row r="65" spans="1:53" ht="21" customHeight="1">
      <c r="O65" s="475"/>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BA65" s="1083">
        <v>20</v>
      </c>
    </row>
    <row r="66" spans="1:53" ht="14.65"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899999999999999" customHeight="1">
      <c r="O67" s="475"/>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BA67" s="1083">
        <v>19</v>
      </c>
    </row>
    <row r="68" spans="1:53" ht="16.899999999999999" customHeight="1">
      <c r="O68" s="475"/>
      <c r="T68" s="2193"/>
      <c r="U68" s="2193"/>
      <c r="V68" s="2193"/>
      <c r="W68" s="2193"/>
      <c r="X68" s="2193"/>
      <c r="Y68" s="2193"/>
      <c r="Z68" s="2193"/>
      <c r="AA68" s="2193"/>
      <c r="AB68" s="2193"/>
      <c r="AC68" s="2193"/>
      <c r="AD68" s="2193"/>
      <c r="AE68" s="2193"/>
      <c r="AF68" s="2193"/>
      <c r="AG68" s="2193"/>
      <c r="AH68" s="2193"/>
      <c r="AI68" s="2193"/>
      <c r="AJ68" s="2193"/>
      <c r="AK68" s="2193"/>
      <c r="AL68" s="2193"/>
      <c r="AM68" s="2193"/>
      <c r="AN68" s="2193"/>
      <c r="AO68" s="2193"/>
      <c r="AP68" s="2193"/>
      <c r="AQ68" s="2193"/>
      <c r="AR68" s="2193"/>
      <c r="AS68" s="2193"/>
      <c r="AT68" s="2193"/>
      <c r="AU68" s="2193"/>
      <c r="BA68" s="1083">
        <v>16</v>
      </c>
    </row>
    <row r="69" spans="1:53" ht="14.65" customHeight="1">
      <c r="O69" s="475"/>
      <c r="BA69" s="1083">
        <v>14</v>
      </c>
    </row>
    <row r="70" spans="1:53" ht="22.5" hidden="1" customHeight="1">
      <c r="A70" s="1088" t="s">
        <v>81</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353"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351"/>
      <c r="Q3" s="290"/>
      <c r="R3" s="291"/>
      <c r="S3" s="1353"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353" t="e">
        <f>INDEX(PT_DIFFERENTIATION_NUM_CS,MATCH(C4,PT_DIFFERENTIATION_CS_ID,0))</f>
        <v>#N/A</v>
      </c>
      <c r="T4" s="247" t="s">
        <v>479</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350"/>
      <c r="R5" s="294"/>
      <c r="S5" s="1353"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353"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353"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352"/>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350"/>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14.25"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354"/>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349"/>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49"/>
      <c r="M19" s="1290"/>
      <c r="N19" s="1290"/>
      <c r="O19" s="1290"/>
      <c r="P19" s="1290"/>
      <c r="Q19" s="1299"/>
      <c r="R19" s="1299"/>
      <c r="S19" s="667"/>
      <c r="AL19" s="449"/>
      <c r="AM19" s="449"/>
      <c r="AN19" s="449"/>
      <c r="AO19" s="449"/>
      <c r="AP19" s="449"/>
      <c r="AQ19" s="1088">
        <v>0</v>
      </c>
    </row>
    <row r="20" spans="1:43" s="1294" customFormat="1" ht="12" hidden="1" customHeight="1">
      <c r="L20" s="1349"/>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280" t="s">
        <v>487</v>
      </c>
      <c r="W38" s="2048" t="s">
        <v>433</v>
      </c>
      <c r="X38" s="2047"/>
      <c r="Y38" s="2048" t="s">
        <v>434</v>
      </c>
      <c r="Z38" s="2053"/>
      <c r="AA38" s="2047"/>
      <c r="AB38" s="2212"/>
      <c r="AC38" s="1280" t="s">
        <v>487</v>
      </c>
      <c r="AD38" s="2048" t="s">
        <v>433</v>
      </c>
      <c r="AE38" s="2047"/>
      <c r="AF38" s="2048" t="s">
        <v>434</v>
      </c>
      <c r="AG38" s="2053"/>
      <c r="AH38" s="2047"/>
      <c r="AI38" s="2212"/>
      <c r="AJ38" s="2215"/>
      <c r="AK38" s="206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280" t="s">
        <v>490</v>
      </c>
      <c r="W39" s="1150" t="s">
        <v>491</v>
      </c>
      <c r="X39" s="1150" t="s">
        <v>492</v>
      </c>
      <c r="Y39" s="1285" t="s">
        <v>444</v>
      </c>
      <c r="Z39" s="2160" t="s">
        <v>445</v>
      </c>
      <c r="AA39" s="2174"/>
      <c r="AB39" s="2213"/>
      <c r="AC39" s="1280" t="s">
        <v>490</v>
      </c>
      <c r="AD39" s="1150" t="s">
        <v>491</v>
      </c>
      <c r="AE39" s="1150" t="s">
        <v>492</v>
      </c>
      <c r="AF39" s="1285" t="s">
        <v>444</v>
      </c>
      <c r="AG39" s="2160" t="s">
        <v>445</v>
      </c>
      <c r="AH39" s="2174"/>
      <c r="AI39" s="2213"/>
      <c r="AJ39" s="2216"/>
      <c r="AK39" s="2066"/>
      <c r="AQ39" s="1083">
        <v>34</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281">
        <f ca="1">OFFSET(V40,0,-1)+1</f>
        <v>3</v>
      </c>
      <c r="W40" s="1281">
        <f ca="1">OFFSET(W40,0,-1)+1</f>
        <v>4</v>
      </c>
      <c r="X40" s="1281">
        <f ca="1">OFFSET(X40,0,-1)+1</f>
        <v>5</v>
      </c>
      <c r="Y40" s="1281">
        <f ca="1">OFFSET(Y40,0,-1)+1</f>
        <v>6</v>
      </c>
      <c r="Z40" s="2205">
        <f ca="1">OFFSET(Z40,0,-1)+1</f>
        <v>7</v>
      </c>
      <c r="AA40" s="2205"/>
      <c r="AB40" s="1281">
        <f ca="1">OFFSET(AB40,0,-2)+1</f>
        <v>8</v>
      </c>
      <c r="AC40" s="1281">
        <f ca="1">OFFSET(AC40,0,-1)+1</f>
        <v>9</v>
      </c>
      <c r="AD40" s="1281">
        <f ca="1">OFFSET(AD40,0,-1)+1</f>
        <v>10</v>
      </c>
      <c r="AE40" s="1281">
        <f ca="1">OFFSET(AE40,0,-1)+1</f>
        <v>11</v>
      </c>
      <c r="AF40" s="1281">
        <f ca="1">OFFSET(AF40,0,-1)+1</f>
        <v>12</v>
      </c>
      <c r="AG40" s="2205">
        <f ca="1">OFFSET(AG40,0,-1)+1</f>
        <v>13</v>
      </c>
      <c r="AH40" s="2205"/>
      <c r="AI40" s="1281">
        <f ca="1">OFFSET(AI40,0,-2)+1</f>
        <v>14</v>
      </c>
      <c r="AJ40" s="1173">
        <f ca="1">OFFSET(AJ40,0,-1)</f>
        <v>14</v>
      </c>
      <c r="AK40" s="1281">
        <f ca="1">OFFSET(AK40,0,-1)+1</f>
        <v>15</v>
      </c>
      <c r="AL40" s="449"/>
      <c r="AM40" s="449"/>
      <c r="AN40" s="449"/>
      <c r="AO40" s="449"/>
      <c r="AP40" s="449"/>
      <c r="AQ40" s="434">
        <v>0</v>
      </c>
    </row>
    <row r="41" spans="1:43" ht="24" customHeight="1">
      <c r="A41" s="1291" t="s">
        <v>224</v>
      </c>
      <c r="B41" s="1291"/>
      <c r="C41" s="1291"/>
      <c r="D41" s="1291"/>
      <c r="E41" s="2194">
        <v>1</v>
      </c>
      <c r="F41" s="1291"/>
      <c r="G41" s="1291"/>
      <c r="H41" s="1291"/>
      <c r="I41" s="1291"/>
      <c r="J41" s="1291"/>
      <c r="K41" s="1291"/>
      <c r="L41" s="1292"/>
      <c r="M41" s="1293"/>
      <c r="N41" s="1293"/>
      <c r="O41" s="1293"/>
      <c r="P41" s="299"/>
      <c r="Q41" s="298"/>
      <c r="R41" s="293"/>
      <c r="S41" s="1286">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224</v>
      </c>
      <c r="B42" s="1291" t="s">
        <v>225</v>
      </c>
      <c r="C42" s="1291"/>
      <c r="D42" s="1291"/>
      <c r="E42" s="2195"/>
      <c r="F42" s="2194">
        <v>1</v>
      </c>
      <c r="G42" s="1291"/>
      <c r="H42" s="1291"/>
      <c r="I42" s="1291"/>
      <c r="J42" s="1291"/>
      <c r="K42" s="1291"/>
      <c r="L42" s="1292"/>
      <c r="M42" s="1293"/>
      <c r="N42" s="1293"/>
      <c r="O42" s="1293"/>
      <c r="P42" s="1284"/>
      <c r="Q42" s="290"/>
      <c r="R42" s="291"/>
      <c r="S42" s="1286"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224</v>
      </c>
      <c r="B43" s="1291" t="s">
        <v>225</v>
      </c>
      <c r="C43" s="1291" t="s">
        <v>226</v>
      </c>
      <c r="D43" s="1291"/>
      <c r="E43" s="2195"/>
      <c r="F43" s="2195"/>
      <c r="G43" s="2194">
        <v>1</v>
      </c>
      <c r="H43" s="1291"/>
      <c r="I43" s="1291"/>
      <c r="J43" s="1291"/>
      <c r="K43" s="1291"/>
      <c r="L43" s="1292"/>
      <c r="M43" s="1293"/>
      <c r="N43" s="1293"/>
      <c r="O43" s="1293"/>
      <c r="P43" s="292"/>
      <c r="Q43" s="290"/>
      <c r="R43" s="291"/>
      <c r="S43" s="1286" t="str">
        <f>INDEX(PT_DIFFERENTIATION_NUM_CS,MATCH(C43,PT_DIFFERENTIATION_CS_ID,0))</f>
        <v>..</v>
      </c>
      <c r="T43" s="247" t="s">
        <v>479</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224</v>
      </c>
      <c r="B44" s="1291" t="s">
        <v>225</v>
      </c>
      <c r="C44" s="1291" t="s">
        <v>226</v>
      </c>
      <c r="D44" s="1291" t="s">
        <v>493</v>
      </c>
      <c r="E44" s="2195"/>
      <c r="F44" s="2195"/>
      <c r="G44" s="2195"/>
      <c r="H44" s="2195"/>
      <c r="I44" s="2196" t="str">
        <f>S43&amp;".1"</f>
        <v>...1</v>
      </c>
      <c r="J44" s="1291"/>
      <c r="K44" s="1291"/>
      <c r="L44" s="1292"/>
      <c r="P44" s="2198">
        <v>1</v>
      </c>
      <c r="Q44" s="1282"/>
      <c r="R44" s="294"/>
      <c r="S44" s="1286"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224</v>
      </c>
      <c r="B45" s="1291" t="s">
        <v>225</v>
      </c>
      <c r="C45" s="1291" t="s">
        <v>226</v>
      </c>
      <c r="D45" s="1291" t="s">
        <v>493</v>
      </c>
      <c r="E45" s="2195"/>
      <c r="F45" s="2195"/>
      <c r="G45" s="2195"/>
      <c r="H45" s="2195"/>
      <c r="I45" s="2197"/>
      <c r="J45" s="2196" t="str">
        <f>I44&amp;".1"</f>
        <v>...1.1</v>
      </c>
      <c r="K45" s="1291"/>
      <c r="L45" s="1292" t="s">
        <v>404</v>
      </c>
      <c r="P45" s="2198"/>
      <c r="Q45" s="2198">
        <v>1</v>
      </c>
      <c r="R45" s="295"/>
      <c r="S45" s="1286"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224</v>
      </c>
      <c r="B46" s="1291" t="s">
        <v>225</v>
      </c>
      <c r="C46" s="1291" t="s">
        <v>226</v>
      </c>
      <c r="D46" s="1291" t="s">
        <v>493</v>
      </c>
      <c r="E46" s="2195"/>
      <c r="F46" s="2195"/>
      <c r="G46" s="2195"/>
      <c r="H46" s="2195"/>
      <c r="I46" s="2197"/>
      <c r="J46" s="2197"/>
      <c r="K46" s="2196" t="str">
        <f>J45&amp;".1"</f>
        <v>...1.1.1</v>
      </c>
      <c r="L46" s="1292"/>
      <c r="P46" s="2198"/>
      <c r="Q46" s="2198"/>
      <c r="R46" s="295">
        <v>1</v>
      </c>
      <c r="S46" s="1286" t="str">
        <f>$K46</f>
        <v>...1.1.1</v>
      </c>
      <c r="T46" s="1365"/>
      <c r="U46" s="238"/>
      <c r="V46" s="1288"/>
      <c r="W46" s="1288"/>
      <c r="X46" s="1289"/>
      <c r="Y46" s="2192"/>
      <c r="Z46" s="2191" t="s">
        <v>65</v>
      </c>
      <c r="AA46" s="2192"/>
      <c r="AB46" s="2191" t="s">
        <v>65</v>
      </c>
      <c r="AC46" s="689"/>
      <c r="AD46" s="689"/>
      <c r="AE46" s="1185"/>
      <c r="AF46" s="2199"/>
      <c r="AG46" s="2076" t="s">
        <v>65</v>
      </c>
      <c r="AH46" s="2201"/>
      <c r="AI46" s="2076" t="s">
        <v>19</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224</v>
      </c>
      <c r="B47" s="1291" t="s">
        <v>225</v>
      </c>
      <c r="C47" s="1291" t="s">
        <v>226</v>
      </c>
      <c r="D47" s="1291" t="s">
        <v>493</v>
      </c>
      <c r="E47" s="2195"/>
      <c r="F47" s="2195"/>
      <c r="G47" s="2195"/>
      <c r="H47" s="2195"/>
      <c r="I47" s="2197"/>
      <c r="J47" s="2197"/>
      <c r="K47" s="2196"/>
      <c r="L47" s="1292"/>
      <c r="P47" s="2198"/>
      <c r="Q47" s="2198"/>
      <c r="R47" s="295"/>
      <c r="S47" s="1287"/>
      <c r="T47" s="238"/>
      <c r="U47" s="238"/>
      <c r="V47" s="1288"/>
      <c r="W47" s="1288"/>
      <c r="X47" s="266" t="str">
        <f>Y46&amp;"-"&amp;AA46</f>
        <v>-</v>
      </c>
      <c r="Y47" s="2191"/>
      <c r="Z47" s="2191"/>
      <c r="AA47" s="2191"/>
      <c r="AB47" s="2191"/>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224</v>
      </c>
      <c r="B48" s="1291" t="s">
        <v>225</v>
      </c>
      <c r="C48" s="1291" t="s">
        <v>226</v>
      </c>
      <c r="D48" s="1291" t="s">
        <v>493</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224</v>
      </c>
      <c r="B49" s="1291" t="s">
        <v>225</v>
      </c>
      <c r="C49" s="1291" t="s">
        <v>226</v>
      </c>
      <c r="D49" s="1291" t="s">
        <v>493</v>
      </c>
      <c r="E49" s="2195"/>
      <c r="F49" s="2195"/>
      <c r="G49" s="2195"/>
      <c r="H49" s="2195"/>
      <c r="I49" s="2196"/>
      <c r="J49" s="1291"/>
      <c r="K49" s="1291"/>
      <c r="L49" s="1292"/>
      <c r="P49" s="2198"/>
      <c r="Q49" s="1282"/>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224</v>
      </c>
      <c r="B50" s="1291" t="s">
        <v>225</v>
      </c>
      <c r="C50" s="1291" t="s">
        <v>226</v>
      </c>
      <c r="D50" s="1291" t="s">
        <v>493</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224</v>
      </c>
      <c r="B51" s="1271" t="s">
        <v>225</v>
      </c>
      <c r="C51" s="1242"/>
      <c r="D51" s="1242"/>
      <c r="E51" s="2195"/>
      <c r="F51" s="2194"/>
      <c r="G51" s="1242"/>
      <c r="H51" s="1242"/>
      <c r="I51" s="1242"/>
      <c r="J51" s="1242"/>
      <c r="K51" s="1242"/>
      <c r="L51" s="1354"/>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224</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54"/>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49">
        <v>0</v>
      </c>
      <c r="M58" s="1290">
        <v>0</v>
      </c>
      <c r="N58" s="1290">
        <v>0</v>
      </c>
      <c r="O58" s="1290">
        <v>0</v>
      </c>
      <c r="P58" s="1279">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385" t="e">
        <f>INDEX(PT_DIFFERENTIATION_NUM_CS,MATCH(C4,PT_DIFFERENTIATION_CS_ID,0))</f>
        <v>#N/A</v>
      </c>
      <c r="T4" s="247" t="s">
        <v>479</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378"/>
      <c r="R5" s="294"/>
      <c r="S5" s="1385"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385"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385"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384"/>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380" t="s">
        <v>487</v>
      </c>
      <c r="W38" s="2048" t="s">
        <v>433</v>
      </c>
      <c r="X38" s="2047"/>
      <c r="Y38" s="2048" t="s">
        <v>434</v>
      </c>
      <c r="Z38" s="2053"/>
      <c r="AA38" s="2047"/>
      <c r="AB38" s="2212"/>
      <c r="AC38" s="1380" t="s">
        <v>487</v>
      </c>
      <c r="AD38" s="2048" t="s">
        <v>433</v>
      </c>
      <c r="AE38" s="2047"/>
      <c r="AF38" s="2048" t="s">
        <v>434</v>
      </c>
      <c r="AG38" s="2053"/>
      <c r="AH38" s="2047"/>
      <c r="AI38" s="2212"/>
      <c r="AJ38" s="2215"/>
      <c r="AK38" s="206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380" t="s">
        <v>490</v>
      </c>
      <c r="W39" s="1150" t="s">
        <v>491</v>
      </c>
      <c r="X39" s="1150" t="s">
        <v>492</v>
      </c>
      <c r="Y39" s="1383" t="s">
        <v>444</v>
      </c>
      <c r="Z39" s="2160" t="s">
        <v>445</v>
      </c>
      <c r="AA39" s="2174"/>
      <c r="AB39" s="2213"/>
      <c r="AC39" s="1380" t="s">
        <v>490</v>
      </c>
      <c r="AD39" s="1150" t="s">
        <v>491</v>
      </c>
      <c r="AE39" s="1150" t="s">
        <v>492</v>
      </c>
      <c r="AF39" s="1383" t="s">
        <v>444</v>
      </c>
      <c r="AG39" s="2160" t="s">
        <v>445</v>
      </c>
      <c r="AH39" s="2174"/>
      <c r="AI39" s="2213"/>
      <c r="AJ39" s="2216"/>
      <c r="AK39" s="206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05">
        <f ca="1">OFFSET(Z40,0,-1)+1</f>
        <v>7</v>
      </c>
      <c r="AA40" s="2205"/>
      <c r="AB40" s="1379">
        <f ca="1">OFFSET(AB40,0,-2)+1</f>
        <v>8</v>
      </c>
      <c r="AC40" s="1379">
        <f ca="1">OFFSET(AC40,0,-1)+1</f>
        <v>9</v>
      </c>
      <c r="AD40" s="1379">
        <f ca="1">OFFSET(AD40,0,-1)+1</f>
        <v>10</v>
      </c>
      <c r="AE40" s="1379">
        <f ca="1">OFFSET(AE40,0,-1)+1</f>
        <v>11</v>
      </c>
      <c r="AF40" s="1379">
        <f ca="1">OFFSET(AF40,0,-1)+1</f>
        <v>12</v>
      </c>
      <c r="AG40" s="2205">
        <f ca="1">OFFSET(AG40,0,-1)+1</f>
        <v>13</v>
      </c>
      <c r="AH40" s="2205"/>
      <c r="AI40" s="1379">
        <f ca="1">OFFSET(AI40,0,-2)+1</f>
        <v>14</v>
      </c>
      <c r="AJ40" s="1173">
        <f ca="1">OFFSET(AJ40,0,-1)</f>
        <v>14</v>
      </c>
      <c r="AK40" s="1379">
        <f ca="1">OFFSET(AK40,0,-1)+1</f>
        <v>15</v>
      </c>
      <c r="AL40" s="449"/>
      <c r="AM40" s="449"/>
      <c r="AN40" s="449"/>
      <c r="AO40" s="449"/>
      <c r="AP40" s="449"/>
      <c r="AQ40" s="434">
        <v>0</v>
      </c>
    </row>
    <row r="41" spans="1:43" ht="24" customHeight="1">
      <c r="A41" s="1291" t="s">
        <v>229</v>
      </c>
      <c r="B41" s="1291"/>
      <c r="C41" s="1291"/>
      <c r="D41" s="1291"/>
      <c r="E41" s="2194">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229</v>
      </c>
      <c r="B42" s="1291" t="s">
        <v>230</v>
      </c>
      <c r="C42" s="1291"/>
      <c r="D42" s="1291"/>
      <c r="E42" s="2195"/>
      <c r="F42" s="2194">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229</v>
      </c>
      <c r="B43" s="1291" t="s">
        <v>230</v>
      </c>
      <c r="C43" s="1291" t="s">
        <v>231</v>
      </c>
      <c r="D43" s="1291"/>
      <c r="E43" s="2195"/>
      <c r="F43" s="2195"/>
      <c r="G43" s="2194">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229</v>
      </c>
      <c r="B44" s="1291" t="s">
        <v>230</v>
      </c>
      <c r="C44" s="1291" t="s">
        <v>231</v>
      </c>
      <c r="D44" s="1291" t="s">
        <v>494</v>
      </c>
      <c r="E44" s="2195"/>
      <c r="F44" s="2195"/>
      <c r="G44" s="2195"/>
      <c r="H44" s="2195"/>
      <c r="I44" s="2196" t="str">
        <f>S43&amp;".1"</f>
        <v>...1</v>
      </c>
      <c r="J44" s="1291"/>
      <c r="K44" s="1291"/>
      <c r="L44" s="1292"/>
      <c r="P44" s="2198">
        <v>1</v>
      </c>
      <c r="Q44" s="1378"/>
      <c r="R44" s="294"/>
      <c r="S44" s="1385"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229</v>
      </c>
      <c r="B45" s="1291" t="s">
        <v>230</v>
      </c>
      <c r="C45" s="1291" t="s">
        <v>231</v>
      </c>
      <c r="D45" s="1291" t="s">
        <v>494</v>
      </c>
      <c r="E45" s="2195"/>
      <c r="F45" s="2195"/>
      <c r="G45" s="2195"/>
      <c r="H45" s="2195"/>
      <c r="I45" s="2197"/>
      <c r="J45" s="2196" t="str">
        <f>I44&amp;".1"</f>
        <v>...1.1</v>
      </c>
      <c r="K45" s="1291"/>
      <c r="L45" s="1292" t="s">
        <v>404</v>
      </c>
      <c r="P45" s="2198"/>
      <c r="Q45" s="2198">
        <v>1</v>
      </c>
      <c r="R45" s="295"/>
      <c r="S45" s="1385"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229</v>
      </c>
      <c r="B46" s="1291" t="s">
        <v>230</v>
      </c>
      <c r="C46" s="1291" t="s">
        <v>231</v>
      </c>
      <c r="D46" s="1291" t="s">
        <v>494</v>
      </c>
      <c r="E46" s="2195"/>
      <c r="F46" s="2195"/>
      <c r="G46" s="2195"/>
      <c r="H46" s="2195"/>
      <c r="I46" s="2197"/>
      <c r="J46" s="2197"/>
      <c r="K46" s="2196" t="str">
        <f>J45&amp;".1"</f>
        <v>...1.1.1</v>
      </c>
      <c r="L46" s="1292"/>
      <c r="P46" s="2198"/>
      <c r="Q46" s="2198"/>
      <c r="R46" s="295">
        <v>1</v>
      </c>
      <c r="S46" s="1385" t="str">
        <f>$K46</f>
        <v>...1.1.1</v>
      </c>
      <c r="T46" s="1365"/>
      <c r="U46" s="238"/>
      <c r="V46" s="689"/>
      <c r="W46" s="689"/>
      <c r="X46" s="1185"/>
      <c r="Y46" s="2199"/>
      <c r="Z46" s="2076" t="s">
        <v>65</v>
      </c>
      <c r="AA46" s="2199"/>
      <c r="AB46" s="2076" t="s">
        <v>65</v>
      </c>
      <c r="AC46" s="689"/>
      <c r="AD46" s="689"/>
      <c r="AE46" s="1185"/>
      <c r="AF46" s="2199"/>
      <c r="AG46" s="2076" t="s">
        <v>65</v>
      </c>
      <c r="AH46" s="2201"/>
      <c r="AI46" s="2076" t="s">
        <v>65</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229</v>
      </c>
      <c r="B47" s="1291" t="s">
        <v>230</v>
      </c>
      <c r="C47" s="1291" t="s">
        <v>231</v>
      </c>
      <c r="D47" s="1291" t="s">
        <v>494</v>
      </c>
      <c r="E47" s="2195"/>
      <c r="F47" s="2195"/>
      <c r="G47" s="2195"/>
      <c r="H47" s="2195"/>
      <c r="I47" s="2197"/>
      <c r="J47" s="2197"/>
      <c r="K47" s="2196"/>
      <c r="L47" s="1292"/>
      <c r="P47" s="2198"/>
      <c r="Q47" s="2198"/>
      <c r="R47" s="295"/>
      <c r="S47" s="1384"/>
      <c r="T47" s="238"/>
      <c r="U47" s="238"/>
      <c r="V47" s="263"/>
      <c r="W47" s="263"/>
      <c r="X47" s="266" t="str">
        <f>Y46&amp;"-"&amp;AA46</f>
        <v>-</v>
      </c>
      <c r="Y47" s="2200"/>
      <c r="Z47" s="2076"/>
      <c r="AA47" s="2200"/>
      <c r="AB47" s="2076"/>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229</v>
      </c>
      <c r="B48" s="1291" t="s">
        <v>230</v>
      </c>
      <c r="C48" s="1291" t="s">
        <v>231</v>
      </c>
      <c r="D48" s="1291" t="s">
        <v>494</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229</v>
      </c>
      <c r="B49" s="1291" t="s">
        <v>230</v>
      </c>
      <c r="C49" s="1291" t="s">
        <v>231</v>
      </c>
      <c r="D49" s="1291" t="s">
        <v>494</v>
      </c>
      <c r="E49" s="2195"/>
      <c r="F49" s="2195"/>
      <c r="G49" s="2195"/>
      <c r="H49" s="2195"/>
      <c r="I49" s="2196"/>
      <c r="J49" s="1291"/>
      <c r="K49" s="1291"/>
      <c r="L49" s="1292"/>
      <c r="P49" s="2198"/>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229</v>
      </c>
      <c r="B50" s="1291" t="s">
        <v>230</v>
      </c>
      <c r="C50" s="1291" t="s">
        <v>231</v>
      </c>
      <c r="D50" s="1291" t="s">
        <v>494</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229</v>
      </c>
      <c r="B51" s="1271" t="s">
        <v>230</v>
      </c>
      <c r="C51" s="1242"/>
      <c r="D51" s="1242"/>
      <c r="E51" s="2195"/>
      <c r="F51" s="2194"/>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229</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385" t="e">
        <f>INDEX(PT_DIFFERENTIATION_NUM_CS,MATCH(C4,PT_DIFFERENTIATION_CS_ID,0))</f>
        <v>#N/A</v>
      </c>
      <c r="T4" s="247" t="s">
        <v>479</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378"/>
      <c r="R5" s="294"/>
      <c r="S5" s="1385"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385"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385"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384"/>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380" t="s">
        <v>487</v>
      </c>
      <c r="W38" s="2048" t="s">
        <v>433</v>
      </c>
      <c r="X38" s="2047"/>
      <c r="Y38" s="2048" t="s">
        <v>434</v>
      </c>
      <c r="Z38" s="2053"/>
      <c r="AA38" s="2047"/>
      <c r="AB38" s="2212"/>
      <c r="AC38" s="1380" t="s">
        <v>487</v>
      </c>
      <c r="AD38" s="2048" t="s">
        <v>433</v>
      </c>
      <c r="AE38" s="2047"/>
      <c r="AF38" s="2048" t="s">
        <v>434</v>
      </c>
      <c r="AG38" s="2053"/>
      <c r="AH38" s="2047"/>
      <c r="AI38" s="2212"/>
      <c r="AJ38" s="2215"/>
      <c r="AK38" s="206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380" t="s">
        <v>490</v>
      </c>
      <c r="W39" s="1150" t="s">
        <v>491</v>
      </c>
      <c r="X39" s="1150" t="s">
        <v>492</v>
      </c>
      <c r="Y39" s="1383" t="s">
        <v>444</v>
      </c>
      <c r="Z39" s="2160" t="s">
        <v>445</v>
      </c>
      <c r="AA39" s="2174"/>
      <c r="AB39" s="2213"/>
      <c r="AC39" s="1380" t="s">
        <v>490</v>
      </c>
      <c r="AD39" s="1150" t="s">
        <v>491</v>
      </c>
      <c r="AE39" s="1150" t="s">
        <v>492</v>
      </c>
      <c r="AF39" s="1383" t="s">
        <v>444</v>
      </c>
      <c r="AG39" s="2160" t="s">
        <v>445</v>
      </c>
      <c r="AH39" s="2174"/>
      <c r="AI39" s="2213"/>
      <c r="AJ39" s="2216"/>
      <c r="AK39" s="206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05">
        <f ca="1">OFFSET(Z40,0,-1)+1</f>
        <v>7</v>
      </c>
      <c r="AA40" s="2205"/>
      <c r="AB40" s="1379">
        <f ca="1">OFFSET(AB40,0,-2)+1</f>
        <v>8</v>
      </c>
      <c r="AC40" s="1379">
        <f ca="1">OFFSET(AC40,0,-1)+1</f>
        <v>9</v>
      </c>
      <c r="AD40" s="1379">
        <f ca="1">OFFSET(AD40,0,-1)+1</f>
        <v>10</v>
      </c>
      <c r="AE40" s="1379">
        <f ca="1">OFFSET(AE40,0,-1)+1</f>
        <v>11</v>
      </c>
      <c r="AF40" s="1379">
        <f ca="1">OFFSET(AF40,0,-1)+1</f>
        <v>12</v>
      </c>
      <c r="AG40" s="2205">
        <f ca="1">OFFSET(AG40,0,-1)+1</f>
        <v>13</v>
      </c>
      <c r="AH40" s="2205"/>
      <c r="AI40" s="1379">
        <f ca="1">OFFSET(AI40,0,-2)+1</f>
        <v>14</v>
      </c>
      <c r="AJ40" s="1173">
        <f ca="1">OFFSET(AJ40,0,-1)</f>
        <v>14</v>
      </c>
      <c r="AK40" s="1379">
        <f ca="1">OFFSET(AK40,0,-1)+1</f>
        <v>15</v>
      </c>
      <c r="AL40" s="449"/>
      <c r="AM40" s="449"/>
      <c r="AN40" s="449"/>
      <c r="AO40" s="449"/>
      <c r="AP40" s="449"/>
      <c r="AQ40" s="434">
        <v>0</v>
      </c>
    </row>
    <row r="41" spans="1:43" ht="24" customHeight="1">
      <c r="A41" s="1291" t="s">
        <v>234</v>
      </c>
      <c r="B41" s="1291"/>
      <c r="C41" s="1291"/>
      <c r="D41" s="1291"/>
      <c r="E41" s="2194">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234</v>
      </c>
      <c r="B42" s="1291" t="s">
        <v>235</v>
      </c>
      <c r="C42" s="1291"/>
      <c r="D42" s="1291"/>
      <c r="E42" s="2195"/>
      <c r="F42" s="2194">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234</v>
      </c>
      <c r="B43" s="1291" t="s">
        <v>235</v>
      </c>
      <c r="C43" s="1291" t="s">
        <v>236</v>
      </c>
      <c r="D43" s="1291"/>
      <c r="E43" s="2195"/>
      <c r="F43" s="2195"/>
      <c r="G43" s="2194">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234</v>
      </c>
      <c r="B44" s="1291" t="s">
        <v>235</v>
      </c>
      <c r="C44" s="1291" t="s">
        <v>236</v>
      </c>
      <c r="D44" s="1291" t="s">
        <v>495</v>
      </c>
      <c r="E44" s="2195"/>
      <c r="F44" s="2195"/>
      <c r="G44" s="2195"/>
      <c r="H44" s="2195"/>
      <c r="I44" s="2196" t="str">
        <f>S43&amp;".1"</f>
        <v>...1</v>
      </c>
      <c r="J44" s="1291"/>
      <c r="K44" s="1291"/>
      <c r="L44" s="1292"/>
      <c r="P44" s="2198">
        <v>1</v>
      </c>
      <c r="Q44" s="1378"/>
      <c r="R44" s="294"/>
      <c r="S44" s="1385"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234</v>
      </c>
      <c r="B45" s="1291" t="s">
        <v>235</v>
      </c>
      <c r="C45" s="1291" t="s">
        <v>236</v>
      </c>
      <c r="D45" s="1291" t="s">
        <v>495</v>
      </c>
      <c r="E45" s="2195"/>
      <c r="F45" s="2195"/>
      <c r="G45" s="2195"/>
      <c r="H45" s="2195"/>
      <c r="I45" s="2197"/>
      <c r="J45" s="2196" t="str">
        <f>I44&amp;".1"</f>
        <v>...1.1</v>
      </c>
      <c r="K45" s="1291"/>
      <c r="L45" s="1292" t="s">
        <v>404</v>
      </c>
      <c r="P45" s="2198"/>
      <c r="Q45" s="2198">
        <v>1</v>
      </c>
      <c r="R45" s="295"/>
      <c r="S45" s="1385"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234</v>
      </c>
      <c r="B46" s="1291" t="s">
        <v>235</v>
      </c>
      <c r="C46" s="1291" t="s">
        <v>236</v>
      </c>
      <c r="D46" s="1291" t="s">
        <v>495</v>
      </c>
      <c r="E46" s="2195"/>
      <c r="F46" s="2195"/>
      <c r="G46" s="2195"/>
      <c r="H46" s="2195"/>
      <c r="I46" s="2197"/>
      <c r="J46" s="2197"/>
      <c r="K46" s="2196" t="str">
        <f>J45&amp;".1"</f>
        <v>...1.1.1</v>
      </c>
      <c r="L46" s="1292"/>
      <c r="P46" s="2198"/>
      <c r="Q46" s="2198"/>
      <c r="R46" s="295">
        <v>1</v>
      </c>
      <c r="S46" s="1385" t="str">
        <f>$K46</f>
        <v>...1.1.1</v>
      </c>
      <c r="T46" s="1365"/>
      <c r="U46" s="238"/>
      <c r="V46" s="689"/>
      <c r="W46" s="689"/>
      <c r="X46" s="1185"/>
      <c r="Y46" s="2199"/>
      <c r="Z46" s="2076" t="s">
        <v>65</v>
      </c>
      <c r="AA46" s="2199"/>
      <c r="AB46" s="2076" t="s">
        <v>65</v>
      </c>
      <c r="AC46" s="689"/>
      <c r="AD46" s="689"/>
      <c r="AE46" s="1185"/>
      <c r="AF46" s="2199"/>
      <c r="AG46" s="2076" t="s">
        <v>65</v>
      </c>
      <c r="AH46" s="2201"/>
      <c r="AI46" s="2076" t="s">
        <v>65</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234</v>
      </c>
      <c r="B47" s="1291" t="s">
        <v>235</v>
      </c>
      <c r="C47" s="1291" t="s">
        <v>236</v>
      </c>
      <c r="D47" s="1291" t="s">
        <v>495</v>
      </c>
      <c r="E47" s="2195"/>
      <c r="F47" s="2195"/>
      <c r="G47" s="2195"/>
      <c r="H47" s="2195"/>
      <c r="I47" s="2197"/>
      <c r="J47" s="2197"/>
      <c r="K47" s="2196"/>
      <c r="L47" s="1292"/>
      <c r="P47" s="2198"/>
      <c r="Q47" s="2198"/>
      <c r="R47" s="295"/>
      <c r="S47" s="1384"/>
      <c r="T47" s="238"/>
      <c r="U47" s="238"/>
      <c r="V47" s="263"/>
      <c r="W47" s="263"/>
      <c r="X47" s="266" t="str">
        <f>Y46&amp;"-"&amp;AA46</f>
        <v>-</v>
      </c>
      <c r="Y47" s="2200"/>
      <c r="Z47" s="2076"/>
      <c r="AA47" s="2200"/>
      <c r="AB47" s="2076"/>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234</v>
      </c>
      <c r="B48" s="1291" t="s">
        <v>235</v>
      </c>
      <c r="C48" s="1291" t="s">
        <v>236</v>
      </c>
      <c r="D48" s="1291" t="s">
        <v>495</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234</v>
      </c>
      <c r="B49" s="1291" t="s">
        <v>235</v>
      </c>
      <c r="C49" s="1291" t="s">
        <v>236</v>
      </c>
      <c r="D49" s="1291" t="s">
        <v>495</v>
      </c>
      <c r="E49" s="2195"/>
      <c r="F49" s="2195"/>
      <c r="G49" s="2195"/>
      <c r="H49" s="2195"/>
      <c r="I49" s="2196"/>
      <c r="J49" s="1291"/>
      <c r="K49" s="1291"/>
      <c r="L49" s="1292"/>
      <c r="P49" s="2198"/>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234</v>
      </c>
      <c r="B50" s="1291" t="s">
        <v>235</v>
      </c>
      <c r="C50" s="1291" t="s">
        <v>236</v>
      </c>
      <c r="D50" s="1291" t="s">
        <v>495</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234</v>
      </c>
      <c r="B51" s="1271" t="s">
        <v>235</v>
      </c>
      <c r="C51" s="1242"/>
      <c r="D51" s="1242"/>
      <c r="E51" s="2195"/>
      <c r="F51" s="2194"/>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234</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385" t="e">
        <f>INDEX(PT_DIFFERENTIATION_NUM_CS,MATCH(C4,PT_DIFFERENTIATION_CS_ID,0))</f>
        <v>#N/A</v>
      </c>
      <c r="T4" s="247" t="s">
        <v>479</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378"/>
      <c r="R5" s="294"/>
      <c r="S5" s="1385"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385"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385"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384"/>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380" t="s">
        <v>487</v>
      </c>
      <c r="W38" s="2048" t="s">
        <v>433</v>
      </c>
      <c r="X38" s="2047"/>
      <c r="Y38" s="2048" t="s">
        <v>434</v>
      </c>
      <c r="Z38" s="2053"/>
      <c r="AA38" s="2047"/>
      <c r="AB38" s="2212"/>
      <c r="AC38" s="1380" t="s">
        <v>487</v>
      </c>
      <c r="AD38" s="2048" t="s">
        <v>433</v>
      </c>
      <c r="AE38" s="2047"/>
      <c r="AF38" s="2048" t="s">
        <v>434</v>
      </c>
      <c r="AG38" s="2053"/>
      <c r="AH38" s="2047"/>
      <c r="AI38" s="2212"/>
      <c r="AJ38" s="2215"/>
      <c r="AK38" s="206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380" t="s">
        <v>490</v>
      </c>
      <c r="W39" s="1150" t="s">
        <v>491</v>
      </c>
      <c r="X39" s="1150" t="s">
        <v>492</v>
      </c>
      <c r="Y39" s="1383" t="s">
        <v>444</v>
      </c>
      <c r="Z39" s="2160" t="s">
        <v>445</v>
      </c>
      <c r="AA39" s="2174"/>
      <c r="AB39" s="2213"/>
      <c r="AC39" s="1380" t="s">
        <v>490</v>
      </c>
      <c r="AD39" s="1150" t="s">
        <v>491</v>
      </c>
      <c r="AE39" s="1150" t="s">
        <v>492</v>
      </c>
      <c r="AF39" s="1383" t="s">
        <v>444</v>
      </c>
      <c r="AG39" s="2160" t="s">
        <v>445</v>
      </c>
      <c r="AH39" s="2174"/>
      <c r="AI39" s="2213"/>
      <c r="AJ39" s="2216"/>
      <c r="AK39" s="206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05">
        <f ca="1">OFFSET(Z40,0,-1)+1</f>
        <v>7</v>
      </c>
      <c r="AA40" s="2205"/>
      <c r="AB40" s="1379">
        <f ca="1">OFFSET(AB40,0,-2)+1</f>
        <v>8</v>
      </c>
      <c r="AC40" s="1379">
        <f ca="1">OFFSET(AC40,0,-1)+1</f>
        <v>9</v>
      </c>
      <c r="AD40" s="1379">
        <f ca="1">OFFSET(AD40,0,-1)+1</f>
        <v>10</v>
      </c>
      <c r="AE40" s="1379">
        <f ca="1">OFFSET(AE40,0,-1)+1</f>
        <v>11</v>
      </c>
      <c r="AF40" s="1379">
        <f ca="1">OFFSET(AF40,0,-1)+1</f>
        <v>12</v>
      </c>
      <c r="AG40" s="2205">
        <f ca="1">OFFSET(AG40,0,-1)+1</f>
        <v>13</v>
      </c>
      <c r="AH40" s="2205"/>
      <c r="AI40" s="1379">
        <f ca="1">OFFSET(AI40,0,-2)+1</f>
        <v>14</v>
      </c>
      <c r="AJ40" s="1173">
        <f ca="1">OFFSET(AJ40,0,-1)</f>
        <v>14</v>
      </c>
      <c r="AK40" s="1379">
        <f ca="1">OFFSET(AK40,0,-1)+1</f>
        <v>15</v>
      </c>
      <c r="AL40" s="449"/>
      <c r="AM40" s="449"/>
      <c r="AN40" s="449"/>
      <c r="AO40" s="449"/>
      <c r="AP40" s="449"/>
      <c r="AQ40" s="434">
        <v>0</v>
      </c>
    </row>
    <row r="41" spans="1:43" ht="24" customHeight="1">
      <c r="A41" s="1291" t="s">
        <v>239</v>
      </c>
      <c r="B41" s="1291"/>
      <c r="C41" s="1291"/>
      <c r="D41" s="1291"/>
      <c r="E41" s="2194">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239</v>
      </c>
      <c r="B42" s="1291" t="s">
        <v>240</v>
      </c>
      <c r="C42" s="1291"/>
      <c r="D42" s="1291"/>
      <c r="E42" s="2195"/>
      <c r="F42" s="2194">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239</v>
      </c>
      <c r="B43" s="1291" t="s">
        <v>240</v>
      </c>
      <c r="C43" s="1291" t="s">
        <v>241</v>
      </c>
      <c r="D43" s="1291"/>
      <c r="E43" s="2195"/>
      <c r="F43" s="2195"/>
      <c r="G43" s="2194">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239</v>
      </c>
      <c r="B44" s="1291" t="s">
        <v>240</v>
      </c>
      <c r="C44" s="1291" t="s">
        <v>241</v>
      </c>
      <c r="D44" s="1291" t="s">
        <v>496</v>
      </c>
      <c r="E44" s="2195"/>
      <c r="F44" s="2195"/>
      <c r="G44" s="2195"/>
      <c r="H44" s="2195"/>
      <c r="I44" s="2196" t="str">
        <f>S43&amp;".1"</f>
        <v>...1</v>
      </c>
      <c r="J44" s="1291"/>
      <c r="K44" s="1291"/>
      <c r="L44" s="1292"/>
      <c r="P44" s="2198">
        <v>1</v>
      </c>
      <c r="Q44" s="1378"/>
      <c r="R44" s="294"/>
      <c r="S44" s="1385"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239</v>
      </c>
      <c r="B45" s="1291" t="s">
        <v>240</v>
      </c>
      <c r="C45" s="1291" t="s">
        <v>241</v>
      </c>
      <c r="D45" s="1291" t="s">
        <v>496</v>
      </c>
      <c r="E45" s="2195"/>
      <c r="F45" s="2195"/>
      <c r="G45" s="2195"/>
      <c r="H45" s="2195"/>
      <c r="I45" s="2197"/>
      <c r="J45" s="2196" t="str">
        <f>I44&amp;".1"</f>
        <v>...1.1</v>
      </c>
      <c r="K45" s="1291"/>
      <c r="L45" s="1292" t="s">
        <v>404</v>
      </c>
      <c r="P45" s="2198"/>
      <c r="Q45" s="2198">
        <v>1</v>
      </c>
      <c r="R45" s="295"/>
      <c r="S45" s="1385"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239</v>
      </c>
      <c r="B46" s="1291" t="s">
        <v>240</v>
      </c>
      <c r="C46" s="1291" t="s">
        <v>241</v>
      </c>
      <c r="D46" s="1291" t="s">
        <v>496</v>
      </c>
      <c r="E46" s="2195"/>
      <c r="F46" s="2195"/>
      <c r="G46" s="2195"/>
      <c r="H46" s="2195"/>
      <c r="I46" s="2197"/>
      <c r="J46" s="2197"/>
      <c r="K46" s="2196" t="str">
        <f>J45&amp;".1"</f>
        <v>...1.1.1</v>
      </c>
      <c r="L46" s="1292"/>
      <c r="P46" s="2198"/>
      <c r="Q46" s="2198"/>
      <c r="R46" s="295">
        <v>1</v>
      </c>
      <c r="S46" s="1385" t="str">
        <f>$K46</f>
        <v>...1.1.1</v>
      </c>
      <c r="T46" s="1365"/>
      <c r="U46" s="238"/>
      <c r="V46" s="689"/>
      <c r="W46" s="689"/>
      <c r="X46" s="1185"/>
      <c r="Y46" s="2199"/>
      <c r="Z46" s="2076" t="s">
        <v>65</v>
      </c>
      <c r="AA46" s="2199"/>
      <c r="AB46" s="2076" t="s">
        <v>65</v>
      </c>
      <c r="AC46" s="689"/>
      <c r="AD46" s="689"/>
      <c r="AE46" s="1185"/>
      <c r="AF46" s="2199"/>
      <c r="AG46" s="2076" t="s">
        <v>65</v>
      </c>
      <c r="AH46" s="2201"/>
      <c r="AI46" s="2076" t="s">
        <v>65</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239</v>
      </c>
      <c r="B47" s="1291" t="s">
        <v>240</v>
      </c>
      <c r="C47" s="1291" t="s">
        <v>241</v>
      </c>
      <c r="D47" s="1291" t="s">
        <v>496</v>
      </c>
      <c r="E47" s="2195"/>
      <c r="F47" s="2195"/>
      <c r="G47" s="2195"/>
      <c r="H47" s="2195"/>
      <c r="I47" s="2197"/>
      <c r="J47" s="2197"/>
      <c r="K47" s="2196"/>
      <c r="L47" s="1292"/>
      <c r="P47" s="2198"/>
      <c r="Q47" s="2198"/>
      <c r="R47" s="295"/>
      <c r="S47" s="1384"/>
      <c r="T47" s="238"/>
      <c r="U47" s="238"/>
      <c r="V47" s="263"/>
      <c r="W47" s="263"/>
      <c r="X47" s="266" t="str">
        <f>Y46&amp;"-"&amp;AA46</f>
        <v>-</v>
      </c>
      <c r="Y47" s="2200"/>
      <c r="Z47" s="2076"/>
      <c r="AA47" s="2200"/>
      <c r="AB47" s="2076"/>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239</v>
      </c>
      <c r="B48" s="1291" t="s">
        <v>240</v>
      </c>
      <c r="C48" s="1291" t="s">
        <v>241</v>
      </c>
      <c r="D48" s="1291" t="s">
        <v>496</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239</v>
      </c>
      <c r="B49" s="1291" t="s">
        <v>240</v>
      </c>
      <c r="C49" s="1291" t="s">
        <v>241</v>
      </c>
      <c r="D49" s="1291" t="s">
        <v>496</v>
      </c>
      <c r="E49" s="2195"/>
      <c r="F49" s="2195"/>
      <c r="G49" s="2195"/>
      <c r="H49" s="2195"/>
      <c r="I49" s="2196"/>
      <c r="J49" s="1291"/>
      <c r="K49" s="1291"/>
      <c r="L49" s="1292"/>
      <c r="P49" s="2198"/>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239</v>
      </c>
      <c r="B50" s="1291" t="s">
        <v>240</v>
      </c>
      <c r="C50" s="1291" t="s">
        <v>241</v>
      </c>
      <c r="D50" s="1291" t="s">
        <v>496</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239</v>
      </c>
      <c r="B51" s="1271" t="s">
        <v>240</v>
      </c>
      <c r="C51" s="1242"/>
      <c r="D51" s="1242"/>
      <c r="E51" s="2195"/>
      <c r="F51" s="2194"/>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239</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3" hidden="1" customWidth="1"/>
    <col min="4" max="4" width="11.85546875" style="1563" hidden="1" customWidth="1"/>
    <col min="5" max="11" width="10.140625" style="1563" hidden="1" customWidth="1"/>
    <col min="12" max="12" width="10.140625" style="2001" hidden="1" customWidth="1"/>
    <col min="13" max="15" width="10.140625" style="2013" hidden="1" customWidth="1"/>
    <col min="16" max="16" width="3" style="1703" customWidth="1"/>
    <col min="17" max="17" width="3" style="1299" customWidth="1"/>
    <col min="18" max="18" width="3" style="282" customWidth="1"/>
    <col min="19" max="19" width="12" style="2014"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27" style="1563" customWidth="1"/>
    <col min="29" max="29" width="24.5703125" style="1563" customWidth="1"/>
    <col min="30" max="31" width="21"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0.75" hidden="1" customHeight="1">
      <c r="AQ1" s="1559" t="s">
        <v>14</v>
      </c>
    </row>
    <row r="2" spans="1:43" ht="21" hidden="1" customHeight="1">
      <c r="A2" s="1195"/>
      <c r="B2" s="1195"/>
      <c r="C2" s="1195"/>
      <c r="D2" s="1195"/>
      <c r="E2" s="2220">
        <v>1</v>
      </c>
      <c r="F2" s="1195"/>
      <c r="G2" s="1195"/>
      <c r="H2" s="1195"/>
      <c r="I2" s="1195"/>
      <c r="J2" s="1195"/>
      <c r="K2" s="1195"/>
      <c r="L2" s="1238"/>
      <c r="M2" s="1538"/>
      <c r="N2" s="1538"/>
      <c r="O2" s="1538"/>
      <c r="P2" s="1337"/>
      <c r="Q2" s="805"/>
      <c r="R2" s="293"/>
      <c r="S2" s="1881" t="e">
        <f>INDEX(PT_DIFFERENTIATION_NUM_NTAR,MATCH(A2,PT_DIFFERENTIATION_NTAR_ID,0))</f>
        <v>#N/A</v>
      </c>
      <c r="T2" s="1453" t="s">
        <v>123</v>
      </c>
      <c r="U2" s="238"/>
      <c r="V2" s="2189"/>
      <c r="W2" s="2189"/>
      <c r="X2" s="2189"/>
      <c r="Y2" s="2189"/>
      <c r="Z2" s="2189"/>
      <c r="AA2" s="2190"/>
      <c r="AB2" s="1875"/>
      <c r="AC2" s="2189" t="e">
        <f>INDEX(PT_DIFFERENTIATION_NTAR,MATCH(A2,PT_DIFFERENTIATION_NTAR_ID,0))</f>
        <v>#N/A</v>
      </c>
      <c r="AD2" s="2189"/>
      <c r="AE2" s="2189"/>
      <c r="AF2" s="2189"/>
      <c r="AG2" s="2189"/>
      <c r="AH2" s="2189"/>
      <c r="AI2" s="2189"/>
      <c r="AJ2" s="2190"/>
      <c r="AK2" s="1186" t="s">
        <v>394</v>
      </c>
      <c r="AM2" s="1552"/>
      <c r="AN2" s="1552" t="str">
        <f t="shared" ref="AN2:AN14" si="0">IF(T2="","",T2)</f>
        <v>Наименование тарифа</v>
      </c>
      <c r="AO2" s="1552"/>
      <c r="AP2" s="1552"/>
      <c r="AQ2" s="1559">
        <v>0</v>
      </c>
    </row>
    <row r="3" spans="1:43" ht="21" hidden="1" customHeight="1">
      <c r="A3" s="1195"/>
      <c r="B3" s="1195"/>
      <c r="C3" s="1195"/>
      <c r="D3" s="1195"/>
      <c r="E3" s="2221"/>
      <c r="F3" s="2220">
        <v>1</v>
      </c>
      <c r="G3" s="1195"/>
      <c r="H3" s="1195"/>
      <c r="I3" s="1195"/>
      <c r="J3" s="1195"/>
      <c r="K3" s="1195"/>
      <c r="L3" s="1238"/>
      <c r="M3" s="1538"/>
      <c r="N3" s="1538"/>
      <c r="O3" s="1538"/>
      <c r="P3" s="1892"/>
      <c r="Q3" s="1339"/>
      <c r="R3" s="291"/>
      <c r="S3" s="1881" t="e">
        <f>INDEX(PT_DIFFERENTIATION_NUM_TER,MATCH(B3,PT_DIFFERENTIATION_TER_ID,0))</f>
        <v>#N/A</v>
      </c>
      <c r="T3" s="1450" t="s">
        <v>395</v>
      </c>
      <c r="U3" s="238"/>
      <c r="V3" s="2189"/>
      <c r="W3" s="2189"/>
      <c r="X3" s="2189"/>
      <c r="Y3" s="2189"/>
      <c r="Z3" s="2189"/>
      <c r="AA3" s="2190"/>
      <c r="AB3" s="1875"/>
      <c r="AC3" s="2189" t="e">
        <f>INDEX(PT_DIFFERENTIATION_TER,MATCH(B3,PT_DIFFERENTIATION_TER_ID,0))</f>
        <v>#N/A</v>
      </c>
      <c r="AD3" s="2189"/>
      <c r="AE3" s="2189"/>
      <c r="AF3" s="2189"/>
      <c r="AG3" s="2189"/>
      <c r="AH3" s="2189"/>
      <c r="AI3" s="2189"/>
      <c r="AJ3" s="2190"/>
      <c r="AK3" s="1186" t="s">
        <v>396</v>
      </c>
      <c r="AM3" s="1552"/>
      <c r="AN3" s="1552" t="str">
        <f t="shared" si="0"/>
        <v>Территория действия тарифа</v>
      </c>
      <c r="AO3" s="1552"/>
      <c r="AP3" s="1552"/>
      <c r="AQ3" s="1559">
        <v>0</v>
      </c>
    </row>
    <row r="4" spans="1:43" ht="22.5" hidden="1" customHeight="1">
      <c r="A4" s="1195"/>
      <c r="B4" s="1195"/>
      <c r="C4" s="1195"/>
      <c r="D4" s="1195"/>
      <c r="E4" s="2221"/>
      <c r="F4" s="2221"/>
      <c r="G4" s="2220">
        <v>1</v>
      </c>
      <c r="H4" s="1195"/>
      <c r="I4" s="1195"/>
      <c r="J4" s="1195"/>
      <c r="K4" s="1195"/>
      <c r="L4" s="1238"/>
      <c r="M4" s="1538"/>
      <c r="N4" s="1538"/>
      <c r="O4" s="1538"/>
      <c r="P4" s="1340"/>
      <c r="Q4" s="1339"/>
      <c r="R4" s="291"/>
      <c r="S4" s="1881" t="e">
        <f>INDEX(PT_DIFFERENTIATION_NUM_CS,MATCH(C4,PT_DIFFERENTIATION_CS_ID,0))</f>
        <v>#N/A</v>
      </c>
      <c r="T4" s="247" t="s">
        <v>397</v>
      </c>
      <c r="U4" s="238"/>
      <c r="V4" s="2189"/>
      <c r="W4" s="2189"/>
      <c r="X4" s="2189"/>
      <c r="Y4" s="2189"/>
      <c r="Z4" s="2189"/>
      <c r="AA4" s="2190"/>
      <c r="AB4" s="1875"/>
      <c r="AC4" s="2189" t="e">
        <f>INDEX(PT_DIFFERENTIATION_CS,MATCH(C4,PT_DIFFERENTIATION_CS_ID,0))</f>
        <v>#N/A</v>
      </c>
      <c r="AD4" s="2189"/>
      <c r="AE4" s="2189"/>
      <c r="AF4" s="2189"/>
      <c r="AG4" s="2189"/>
      <c r="AH4" s="2189"/>
      <c r="AI4" s="2189"/>
      <c r="AJ4" s="2190"/>
      <c r="AK4" s="1186" t="s">
        <v>398</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221"/>
      <c r="F5" s="2221"/>
      <c r="G5" s="2221"/>
      <c r="H5" s="2220">
        <v>1</v>
      </c>
      <c r="I5" s="1195"/>
      <c r="J5" s="1195"/>
      <c r="K5" s="1195"/>
      <c r="L5" s="1238"/>
      <c r="M5" s="1538"/>
      <c r="N5" s="1538"/>
      <c r="O5" s="1538"/>
      <c r="P5" s="1340"/>
      <c r="Q5" s="1339"/>
      <c r="R5" s="291"/>
      <c r="S5" s="1881" t="e">
        <f>INDEX(PT_DIFFERENTIATION_NUM_IST_TE,MATCH(D5,PT_DIFFERENTIATION_IST_TE_ID,0))</f>
        <v>#N/A</v>
      </c>
      <c r="T5" s="248" t="s">
        <v>399</v>
      </c>
      <c r="U5" s="238"/>
      <c r="V5" s="2189"/>
      <c r="W5" s="2189"/>
      <c r="X5" s="2189"/>
      <c r="Y5" s="2189"/>
      <c r="Z5" s="2189"/>
      <c r="AA5" s="2190"/>
      <c r="AB5" s="1875"/>
      <c r="AC5" s="2189" t="e">
        <f>INDEX(PT_DIFFERENTIATION_IST_TE,MATCH(D5,PT_DIFFERENTIATION_IST_TE_ID,0))</f>
        <v>#N/A</v>
      </c>
      <c r="AD5" s="2189"/>
      <c r="AE5" s="2189"/>
      <c r="AF5" s="2189"/>
      <c r="AG5" s="2189"/>
      <c r="AH5" s="2189"/>
      <c r="AI5" s="2189"/>
      <c r="AJ5" s="2190"/>
      <c r="AK5" s="1186" t="s">
        <v>400</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221"/>
      <c r="F6" s="2221"/>
      <c r="G6" s="2221"/>
      <c r="H6" s="2221"/>
      <c r="I6" s="2066" t="e">
        <f>S5&amp;".1"</f>
        <v>#N/A</v>
      </c>
      <c r="J6" s="1303"/>
      <c r="K6" s="1303"/>
      <c r="L6" s="1309" t="s">
        <v>401</v>
      </c>
      <c r="M6" s="1174"/>
      <c r="N6" s="1174"/>
      <c r="O6" s="1174"/>
      <c r="P6" s="2198">
        <v>1</v>
      </c>
      <c r="Q6" s="1877"/>
      <c r="R6" s="294"/>
      <c r="S6" s="973"/>
      <c r="T6" s="1311"/>
      <c r="U6" s="1312"/>
      <c r="V6" s="2226"/>
      <c r="W6" s="2226"/>
      <c r="X6" s="2226"/>
      <c r="Y6" s="2226"/>
      <c r="Z6" s="2226"/>
      <c r="AA6" s="2227"/>
      <c r="AB6" s="1883"/>
      <c r="AC6" s="2226"/>
      <c r="AD6" s="2226"/>
      <c r="AE6" s="2226"/>
      <c r="AF6" s="2226"/>
      <c r="AG6" s="2226"/>
      <c r="AH6" s="2226"/>
      <c r="AI6" s="2226"/>
      <c r="AJ6" s="2227"/>
      <c r="AK6" s="1313"/>
      <c r="AM6" s="1552"/>
      <c r="AN6" s="1552" t="str">
        <f t="shared" si="0"/>
        <v/>
      </c>
      <c r="AO6" s="1552"/>
      <c r="AP6" s="1552"/>
      <c r="AQ6" s="1564">
        <v>0</v>
      </c>
    </row>
    <row r="7" spans="1:43" s="1570" customFormat="1" ht="0.75" hidden="1" customHeight="1">
      <c r="A7" s="1303"/>
      <c r="B7" s="1303"/>
      <c r="C7" s="1303"/>
      <c r="D7" s="1303"/>
      <c r="E7" s="2221"/>
      <c r="F7" s="2221"/>
      <c r="G7" s="2221"/>
      <c r="H7" s="2221"/>
      <c r="I7" s="2048"/>
      <c r="J7" s="2066" t="e">
        <f>S5&amp;".1"</f>
        <v>#N/A</v>
      </c>
      <c r="K7" s="1303"/>
      <c r="L7" s="1309"/>
      <c r="M7" s="1174"/>
      <c r="N7" s="1174"/>
      <c r="O7" s="1174"/>
      <c r="P7" s="2198"/>
      <c r="Q7" s="2198">
        <v>1</v>
      </c>
      <c r="R7" s="295"/>
      <c r="S7" s="973"/>
      <c r="T7" s="1327"/>
      <c r="U7" s="1312"/>
      <c r="V7" s="2226"/>
      <c r="W7" s="2226"/>
      <c r="X7" s="2226"/>
      <c r="Y7" s="2226"/>
      <c r="Z7" s="2226"/>
      <c r="AA7" s="2227"/>
      <c r="AB7" s="1883"/>
      <c r="AC7" s="2226"/>
      <c r="AD7" s="2226"/>
      <c r="AE7" s="2226"/>
      <c r="AF7" s="2226"/>
      <c r="AG7" s="2226"/>
      <c r="AH7" s="2226"/>
      <c r="AI7" s="2226"/>
      <c r="AJ7" s="2227"/>
      <c r="AK7" s="1313"/>
      <c r="AM7" s="1552"/>
      <c r="AN7" s="1552" t="str">
        <f t="shared" si="0"/>
        <v/>
      </c>
      <c r="AO7" s="1552"/>
      <c r="AP7" s="1552"/>
      <c r="AQ7" s="1564">
        <v>0</v>
      </c>
    </row>
    <row r="8" spans="1:43" ht="21" hidden="1" customHeight="1">
      <c r="A8" s="1195"/>
      <c r="B8" s="1195"/>
      <c r="C8" s="1195"/>
      <c r="D8" s="1195"/>
      <c r="E8" s="2221"/>
      <c r="F8" s="2221"/>
      <c r="G8" s="2221"/>
      <c r="H8" s="2221"/>
      <c r="I8" s="2048"/>
      <c r="J8" s="2048"/>
      <c r="K8" s="1914" t="e">
        <f>S5&amp;".1"</f>
        <v>#N/A</v>
      </c>
      <c r="L8" s="1238"/>
      <c r="P8" s="2198"/>
      <c r="Q8" s="2198"/>
      <c r="R8" s="1918">
        <v>1</v>
      </c>
      <c r="S8" s="1916" t="e">
        <f>$K8</f>
        <v>#N/A</v>
      </c>
      <c r="T8" s="1917"/>
      <c r="U8" s="238"/>
      <c r="V8" s="689"/>
      <c r="W8" s="1185"/>
      <c r="X8" s="1915"/>
      <c r="Y8" s="1913" t="s">
        <v>65</v>
      </c>
      <c r="Z8" s="1915"/>
      <c r="AA8" s="1913" t="s">
        <v>65</v>
      </c>
      <c r="AB8" s="1919"/>
      <c r="AC8" s="1920" t="s">
        <v>22</v>
      </c>
      <c r="AD8" s="689"/>
      <c r="AE8" s="1185"/>
      <c r="AF8" s="1878"/>
      <c r="AG8" s="1865" t="s">
        <v>65</v>
      </c>
      <c r="AH8" s="1878"/>
      <c r="AI8" s="1865" t="s">
        <v>65</v>
      </c>
      <c r="AJ8" s="1276"/>
      <c r="AK8" s="2217" t="s">
        <v>462</v>
      </c>
      <c r="AL8" s="1564" t="e">
        <f ca="1">STRCHECKDATE(#REF!)</f>
        <v>#NAME?</v>
      </c>
      <c r="AM8" s="1552"/>
      <c r="AN8" s="1552" t="str">
        <f t="shared" si="0"/>
        <v/>
      </c>
      <c r="AO8" s="1552"/>
      <c r="AP8" s="1552"/>
      <c r="AQ8" s="1559">
        <v>0</v>
      </c>
    </row>
    <row r="9" spans="1:43" ht="11.25" hidden="1" customHeight="1">
      <c r="A9" s="1195"/>
      <c r="B9" s="1195"/>
      <c r="C9" s="1195"/>
      <c r="D9" s="1195"/>
      <c r="E9" s="2221"/>
      <c r="F9" s="2221"/>
      <c r="G9" s="2221"/>
      <c r="H9" s="2221"/>
      <c r="I9" s="2048"/>
      <c r="J9" s="2066"/>
      <c r="K9" s="1195"/>
      <c r="L9" s="1238"/>
      <c r="P9" s="2198"/>
      <c r="Q9" s="2198"/>
      <c r="R9" s="294"/>
      <c r="S9" s="1206"/>
      <c r="T9" s="225" t="s">
        <v>466</v>
      </c>
      <c r="U9" s="538"/>
      <c r="V9" s="538"/>
      <c r="W9" s="538"/>
      <c r="X9" s="538"/>
      <c r="Y9" s="538"/>
      <c r="Z9" s="538"/>
      <c r="AA9" s="538"/>
      <c r="AB9" s="538"/>
      <c r="AC9" s="538"/>
      <c r="AD9" s="538"/>
      <c r="AE9" s="538"/>
      <c r="AF9" s="538"/>
      <c r="AG9" s="538"/>
      <c r="AH9" s="538"/>
      <c r="AI9" s="538"/>
      <c r="AJ9" s="262"/>
      <c r="AK9" s="2219"/>
      <c r="AM9" s="1552"/>
      <c r="AN9" s="1552" t="str">
        <f t="shared" si="0"/>
        <v>Добавить строку</v>
      </c>
      <c r="AO9" s="1552"/>
      <c r="AP9" s="1552"/>
      <c r="AQ9" s="1559">
        <v>0</v>
      </c>
    </row>
    <row r="10" spans="1:43" s="1570" customFormat="1" ht="0.75" hidden="1" customHeight="1">
      <c r="A10" s="1303"/>
      <c r="B10" s="1303"/>
      <c r="C10" s="1303"/>
      <c r="D10" s="1303"/>
      <c r="E10" s="2221"/>
      <c r="F10" s="2221"/>
      <c r="G10" s="2221"/>
      <c r="H10" s="2221"/>
      <c r="I10" s="2066"/>
      <c r="J10" s="1303"/>
      <c r="K10" s="1303"/>
      <c r="L10" s="1309"/>
      <c r="M10" s="1174"/>
      <c r="N10" s="1174"/>
      <c r="O10" s="1174"/>
      <c r="P10" s="2198"/>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221"/>
      <c r="F11" s="2221"/>
      <c r="G11" s="2221"/>
      <c r="H11" s="2220"/>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221"/>
      <c r="F12" s="2221"/>
      <c r="G12" s="2220"/>
      <c r="H12" s="1302"/>
      <c r="I12" s="1302"/>
      <c r="J12" s="1302"/>
      <c r="K12" s="1302"/>
      <c r="L12" s="1305"/>
      <c r="M12" s="1306"/>
      <c r="N12" s="1306"/>
      <c r="O12" s="289"/>
      <c r="P12" s="1244"/>
      <c r="Q12" s="1245"/>
      <c r="R12" s="1244"/>
      <c r="S12" s="1250"/>
      <c r="T12" s="1253" t="s">
        <v>412</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221"/>
      <c r="F13" s="2220"/>
      <c r="G13" s="1302"/>
      <c r="H13" s="1302"/>
      <c r="I13" s="1302"/>
      <c r="J13" s="1302"/>
      <c r="K13" s="1302"/>
      <c r="L13" s="1305"/>
      <c r="M13" s="1307"/>
      <c r="N13" s="1307"/>
      <c r="O13" s="289"/>
      <c r="P13" s="1244"/>
      <c r="Q13" s="1245"/>
      <c r="R13" s="1244"/>
      <c r="S13" s="1250"/>
      <c r="T13" s="1253" t="s">
        <v>413</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220"/>
      <c r="F14" s="1303"/>
      <c r="G14" s="1303"/>
      <c r="H14" s="1303"/>
      <c r="I14" s="1303"/>
      <c r="J14" s="1303"/>
      <c r="K14" s="1303"/>
      <c r="L14" s="1309"/>
      <c r="M14" s="1307"/>
      <c r="N14" s="1307"/>
      <c r="O14" s="289"/>
      <c r="P14" s="318"/>
      <c r="Q14" s="1272"/>
      <c r="R14" s="318"/>
      <c r="S14" s="1250"/>
      <c r="T14" s="1253" t="s">
        <v>414</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65</v>
      </c>
      <c r="AH16" s="1663"/>
      <c r="AI16" s="1889" t="s">
        <v>65</v>
      </c>
      <c r="AQ16" s="1559">
        <v>0</v>
      </c>
    </row>
    <row r="17" spans="1:43" ht="14.25" hidden="1" customHeight="1">
      <c r="AL17" s="1569"/>
      <c r="AM17" s="1569"/>
      <c r="AN17" s="1569"/>
      <c r="AO17" s="1569"/>
      <c r="AP17" s="1569"/>
      <c r="AQ17" s="1559">
        <v>0</v>
      </c>
    </row>
    <row r="18" spans="1:43" ht="14.25" hidden="1" customHeight="1">
      <c r="O18" s="1273" t="s">
        <v>415</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416</v>
      </c>
      <c r="P20" s="1436"/>
      <c r="Q20" s="1438"/>
      <c r="R20" s="1438"/>
      <c r="Y20" s="1435" t="s">
        <v>418</v>
      </c>
      <c r="AA20" s="1435" t="s">
        <v>419</v>
      </c>
      <c r="AC20" s="1435" t="s">
        <v>468</v>
      </c>
      <c r="AG20" s="1435" t="s">
        <v>418</v>
      </c>
      <c r="AI20" s="1435" t="s">
        <v>419</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65" customHeight="1">
      <c r="Q23" s="229"/>
      <c r="R23" s="314"/>
      <c r="S23" s="1203"/>
      <c r="T23" s="395"/>
      <c r="U23" s="395"/>
      <c r="AQ23" s="1559">
        <v>14</v>
      </c>
    </row>
    <row r="24" spans="1:43" ht="39.75" customHeight="1">
      <c r="Q24" s="229"/>
      <c r="R24" s="314"/>
      <c r="S24" s="217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5"/>
      <c r="U24" s="2175"/>
      <c r="V24" s="2175"/>
      <c r="W24" s="2175"/>
      <c r="X24" s="2175"/>
      <c r="Y24" s="2175"/>
      <c r="Z24" s="2175"/>
      <c r="AA24" s="2175"/>
      <c r="AB24" s="2175"/>
      <c r="AC24" s="2175"/>
      <c r="AD24" s="2175"/>
      <c r="AE24" s="2175"/>
      <c r="AF24" s="2175"/>
      <c r="AG24" s="2175"/>
      <c r="AH24" s="2175"/>
      <c r="AI24" s="1171"/>
      <c r="AQ24" s="1559">
        <v>38</v>
      </c>
    </row>
    <row r="25" spans="1:43" ht="14.65" customHeight="1">
      <c r="Q25" s="229"/>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185" t="s">
        <v>42</v>
      </c>
      <c r="T27" s="2185"/>
      <c r="U27" s="1300"/>
      <c r="V27" s="2187" t="str">
        <f>IF(TITLE_NAME_OR_PR_CHANGE="",IF(TITLE_NAME_OR_PR="","",TITLE_NAME_OR_PR),TITLE_NAME_OR_PR_CHANGE)</f>
        <v/>
      </c>
      <c r="W27" s="2187"/>
      <c r="X27" s="2187"/>
      <c r="Y27" s="2187"/>
      <c r="Z27" s="2187"/>
      <c r="AA27" s="1563"/>
      <c r="AB27" s="1563"/>
      <c r="AC27" s="2187"/>
      <c r="AD27" s="2187"/>
      <c r="AE27" s="2187"/>
      <c r="AF27" s="2187"/>
      <c r="AG27" s="2187"/>
      <c r="AH27" s="2187"/>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185" t="s">
        <v>421</v>
      </c>
      <c r="T28" s="2185"/>
      <c r="U28" s="1300"/>
      <c r="V28" s="2186" t="str">
        <f>IF(TITLE_DATE_PR_CHANGE="",IF(TITLE_DATE_PR="","",TITLE_DATE_PR),TITLE_DATE_PR_CHANGE)</f>
        <v/>
      </c>
      <c r="W28" s="2186"/>
      <c r="X28" s="2186"/>
      <c r="Y28" s="2186"/>
      <c r="Z28" s="2186"/>
      <c r="AA28" s="1563"/>
      <c r="AB28" s="1563"/>
      <c r="AC28" s="2186"/>
      <c r="AD28" s="2186"/>
      <c r="AE28" s="2186"/>
      <c r="AF28" s="2186"/>
      <c r="AG28" s="2186"/>
      <c r="AH28" s="2186"/>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185" t="s">
        <v>422</v>
      </c>
      <c r="T29" s="2185"/>
      <c r="U29" s="1300"/>
      <c r="V29" s="2187" t="str">
        <f>IF(TITLE_NUMBER_PR_CHANGE="",IF(TITLE_NUMBER_PR="","",TITLE_NUMBER_PR),TITLE_NUMBER_PR_CHANGE)</f>
        <v/>
      </c>
      <c r="W29" s="2187"/>
      <c r="X29" s="2187"/>
      <c r="Y29" s="2187"/>
      <c r="Z29" s="2187"/>
      <c r="AA29" s="1563"/>
      <c r="AB29" s="1563"/>
      <c r="AC29" s="2187"/>
      <c r="AD29" s="2187"/>
      <c r="AE29" s="2187"/>
      <c r="AF29" s="2187"/>
      <c r="AG29" s="2187"/>
      <c r="AH29" s="2187"/>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185" t="s">
        <v>43</v>
      </c>
      <c r="T30" s="2185"/>
      <c r="U30" s="1300"/>
      <c r="V30" s="2187" t="str">
        <f>IF(TITLE_IST_PUB_CHANGE="",IF(TITLE_IST_PUB="","",TITLE_IST_PUB),TITLE_IST_PUB_CHANGE)</f>
        <v/>
      </c>
      <c r="W30" s="2187"/>
      <c r="X30" s="2187"/>
      <c r="Y30" s="2187"/>
      <c r="Z30" s="2187"/>
      <c r="AA30" s="1563"/>
      <c r="AB30" s="1563"/>
      <c r="AC30" s="2187"/>
      <c r="AD30" s="2187"/>
      <c r="AE30" s="2187"/>
      <c r="AF30" s="2187"/>
      <c r="AG30" s="2187"/>
      <c r="AH30" s="2187"/>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185" t="s">
        <v>421</v>
      </c>
      <c r="T32" s="2185"/>
      <c r="U32" s="1300"/>
      <c r="V32" s="2186" t="str">
        <f>IF(TITLE_DATE_PR_CHANGE="",IF(TITLE_DATE_PR="","",TITLE_DATE_PR),TITLE_DATE_PR_CHANGE)</f>
        <v/>
      </c>
      <c r="W32" s="2186"/>
      <c r="X32" s="2186"/>
      <c r="Y32" s="2186"/>
      <c r="Z32" s="2186"/>
      <c r="AA32" s="1563"/>
      <c r="AB32" s="1563"/>
      <c r="AC32" s="2186"/>
      <c r="AD32" s="2186"/>
      <c r="AE32" s="2186"/>
      <c r="AF32" s="2186"/>
      <c r="AG32" s="2186"/>
      <c r="AH32" s="2186"/>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185" t="s">
        <v>422</v>
      </c>
      <c r="T33" s="2185"/>
      <c r="U33" s="1300"/>
      <c r="V33" s="2187" t="str">
        <f>IF(TITLE_NUMBER_PR_CHANGE="",IF(TITLE_NUMBER_PR="","",TITLE_NUMBER_PR),TITLE_NUMBER_PR_CHANGE)</f>
        <v/>
      </c>
      <c r="W33" s="2187"/>
      <c r="X33" s="2187"/>
      <c r="Y33" s="2187"/>
      <c r="Z33" s="2187"/>
      <c r="AA33" s="1563"/>
      <c r="AB33" s="1563"/>
      <c r="AC33" s="2187"/>
      <c r="AD33" s="2187"/>
      <c r="AE33" s="2187"/>
      <c r="AF33" s="2187"/>
      <c r="AG33" s="2187"/>
      <c r="AH33" s="2187"/>
      <c r="AI33" s="1563"/>
      <c r="AJ33" s="1563"/>
      <c r="AK33" s="218"/>
      <c r="AL33" s="306"/>
      <c r="AM33" s="306"/>
      <c r="AN33" s="306"/>
      <c r="AO33" s="306"/>
      <c r="AP33" s="306"/>
      <c r="AQ33" s="356">
        <v>0</v>
      </c>
    </row>
    <row r="34" spans="1:43" s="1779" customFormat="1" ht="1.1499999999999999"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425</v>
      </c>
      <c r="AB34" s="1570"/>
      <c r="AC34" s="1563"/>
      <c r="AD34" s="1563"/>
      <c r="AE34" s="1563"/>
      <c r="AF34" s="1563"/>
      <c r="AG34" s="1563"/>
      <c r="AH34" s="1563"/>
      <c r="AI34" s="1570" t="s">
        <v>425</v>
      </c>
      <c r="AL34" s="306"/>
      <c r="AM34" s="306"/>
      <c r="AN34" s="306"/>
      <c r="AO34" s="306"/>
      <c r="AP34" s="306"/>
      <c r="AQ34" s="356">
        <v>1</v>
      </c>
    </row>
    <row r="35" spans="1:43" ht="14.65" customHeight="1">
      <c r="Q35" s="229"/>
      <c r="R35" s="314"/>
      <c r="S35" s="1203"/>
      <c r="T35" s="395"/>
      <c r="U35" s="1172"/>
      <c r="V35" s="2206"/>
      <c r="W35" s="2206"/>
      <c r="X35" s="2206"/>
      <c r="Y35" s="2206"/>
      <c r="Z35" s="2206"/>
      <c r="AA35" s="2206"/>
      <c r="AB35" s="1880"/>
      <c r="AC35" s="2206"/>
      <c r="AD35" s="2206"/>
      <c r="AE35" s="2206"/>
      <c r="AF35" s="2206"/>
      <c r="AG35" s="2206"/>
      <c r="AH35" s="2206"/>
      <c r="AI35" s="2206"/>
      <c r="AQ35" s="1559">
        <v>14</v>
      </c>
    </row>
    <row r="36" spans="1:43" ht="14.65" customHeight="1">
      <c r="Q36" s="229"/>
      <c r="R36" s="314"/>
      <c r="S36" s="2066" t="s">
        <v>298</v>
      </c>
      <c r="T36" s="2066"/>
      <c r="U36" s="2066"/>
      <c r="V36" s="2066"/>
      <c r="W36" s="2066"/>
      <c r="X36" s="2066"/>
      <c r="Y36" s="2066"/>
      <c r="Z36" s="2066"/>
      <c r="AA36" s="2125"/>
      <c r="AB36" s="2125"/>
      <c r="AC36" s="2125"/>
      <c r="AD36" s="2066"/>
      <c r="AE36" s="2066"/>
      <c r="AF36" s="2066"/>
      <c r="AG36" s="2066"/>
      <c r="AH36" s="2066"/>
      <c r="AI36" s="2066"/>
      <c r="AJ36" s="2066"/>
      <c r="AK36" s="2066" t="s">
        <v>299</v>
      </c>
      <c r="AQ36" s="1559">
        <v>14</v>
      </c>
    </row>
    <row r="37" spans="1:43" ht="14.65" customHeight="1">
      <c r="Q37" s="229"/>
      <c r="R37" s="314"/>
      <c r="S37" s="2207" t="s">
        <v>87</v>
      </c>
      <c r="T37" s="2155" t="s">
        <v>497</v>
      </c>
      <c r="U37" s="275"/>
      <c r="V37" s="2209"/>
      <c r="W37" s="2209"/>
      <c r="X37" s="2209"/>
      <c r="Y37" s="2209"/>
      <c r="Z37" s="2209"/>
      <c r="AA37" s="2155" t="s">
        <v>428</v>
      </c>
      <c r="AB37" s="2154" t="s">
        <v>498</v>
      </c>
      <c r="AC37" s="2154" t="s">
        <v>472</v>
      </c>
      <c r="AD37" s="2224" t="s">
        <v>427</v>
      </c>
      <c r="AE37" s="2224"/>
      <c r="AF37" s="2209"/>
      <c r="AG37" s="2209"/>
      <c r="AH37" s="2210"/>
      <c r="AI37" s="2211" t="s">
        <v>428</v>
      </c>
      <c r="AJ37" s="2214" t="s">
        <v>430</v>
      </c>
      <c r="AK37" s="2066"/>
      <c r="AQ37" s="1559">
        <v>14</v>
      </c>
    </row>
    <row r="38" spans="1:43" ht="35.65" customHeight="1">
      <c r="Q38" s="229"/>
      <c r="R38" s="314"/>
      <c r="S38" s="2207"/>
      <c r="T38" s="2155"/>
      <c r="U38" s="962"/>
      <c r="V38" s="2047" t="s">
        <v>475</v>
      </c>
      <c r="W38" s="2066"/>
      <c r="X38" s="2126" t="s">
        <v>434</v>
      </c>
      <c r="Y38" s="2236"/>
      <c r="Z38" s="2236"/>
      <c r="AA38" s="2155"/>
      <c r="AB38" s="2154"/>
      <c r="AC38" s="2154"/>
      <c r="AD38" s="2047" t="s">
        <v>475</v>
      </c>
      <c r="AE38" s="2066"/>
      <c r="AF38" s="2236" t="s">
        <v>434</v>
      </c>
      <c r="AG38" s="2236"/>
      <c r="AH38" s="2127"/>
      <c r="AI38" s="2212"/>
      <c r="AJ38" s="2215"/>
      <c r="AK38" s="2066"/>
      <c r="AQ38" s="1559">
        <v>34</v>
      </c>
    </row>
    <row r="39" spans="1:43" ht="14.65" customHeight="1">
      <c r="Q39" s="229"/>
      <c r="R39" s="314"/>
      <c r="S39" s="2207"/>
      <c r="T39" s="2155"/>
      <c r="U39" s="962"/>
      <c r="V39" s="2260" t="str">
        <f>IF($AD$39&lt;&gt;"",$AD$39,"")</f>
        <v/>
      </c>
      <c r="W39" s="2260"/>
      <c r="X39" s="2131"/>
      <c r="Y39" s="2237"/>
      <c r="Z39" s="2237"/>
      <c r="AA39" s="2155"/>
      <c r="AB39" s="2154"/>
      <c r="AC39" s="2154"/>
      <c r="AD39" s="2269"/>
      <c r="AE39" s="2259"/>
      <c r="AF39" s="2237"/>
      <c r="AG39" s="2237"/>
      <c r="AH39" s="2132"/>
      <c r="AI39" s="2212"/>
      <c r="AJ39" s="2215"/>
      <c r="AK39" s="2066"/>
      <c r="AQ39" s="1559">
        <v>14</v>
      </c>
    </row>
    <row r="40" spans="1:43" ht="14.65" customHeight="1">
      <c r="A40" s="1194"/>
      <c r="B40" s="1194" t="s">
        <v>135</v>
      </c>
      <c r="C40" s="1194" t="s">
        <v>136</v>
      </c>
      <c r="D40" s="1194" t="s">
        <v>137</v>
      </c>
      <c r="E40" s="1238" t="s">
        <v>435</v>
      </c>
      <c r="F40" s="1238" t="s">
        <v>436</v>
      </c>
      <c r="G40" s="1238" t="s">
        <v>437</v>
      </c>
      <c r="H40" s="1238" t="s">
        <v>438</v>
      </c>
      <c r="I40" s="1238" t="s">
        <v>439</v>
      </c>
      <c r="J40" s="1238" t="s">
        <v>440</v>
      </c>
      <c r="K40" s="1238" t="s">
        <v>441</v>
      </c>
      <c r="L40" s="1238" t="s">
        <v>416</v>
      </c>
      <c r="Q40" s="229"/>
      <c r="R40" s="314"/>
      <c r="S40" s="2207"/>
      <c r="T40" s="2155"/>
      <c r="U40" s="240"/>
      <c r="V40" s="1873" t="s">
        <v>476</v>
      </c>
      <c r="W40" s="1873" t="s">
        <v>477</v>
      </c>
      <c r="X40" s="1861" t="s">
        <v>444</v>
      </c>
      <c r="Y40" s="2160" t="s">
        <v>445</v>
      </c>
      <c r="Z40" s="2173"/>
      <c r="AA40" s="2155"/>
      <c r="AB40" s="2154"/>
      <c r="AC40" s="2154"/>
      <c r="AD40" s="1891" t="s">
        <v>476</v>
      </c>
      <c r="AE40" s="1882" t="s">
        <v>477</v>
      </c>
      <c r="AF40" s="1861" t="s">
        <v>444</v>
      </c>
      <c r="AG40" s="2160" t="s">
        <v>445</v>
      </c>
      <c r="AH40" s="2174"/>
      <c r="AI40" s="2213"/>
      <c r="AJ40" s="2216"/>
      <c r="AK40" s="2066"/>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108</v>
      </c>
      <c r="T41" s="1183" t="s">
        <v>109</v>
      </c>
      <c r="U41" s="1173" t="str">
        <f ca="1">OFFSET(U41,0,-1)</f>
        <v>2</v>
      </c>
      <c r="V41" s="1879">
        <f ca="1">OFFSET(V41,0,-1)+1</f>
        <v>3</v>
      </c>
      <c r="W41" s="1879">
        <f ca="1">OFFSET(W41,0,-1)+1</f>
        <v>4</v>
      </c>
      <c r="X41" s="1879">
        <f ca="1">OFFSET(X41,0,-1)+1</f>
        <v>5</v>
      </c>
      <c r="Y41" s="2205">
        <f ca="1">OFFSET(Y41,0,-1)+1</f>
        <v>6</v>
      </c>
      <c r="Z41" s="2205"/>
      <c r="AA41" s="1269">
        <f ca="1">OFFSET(AA41,0,-2)+1</f>
        <v>7</v>
      </c>
      <c r="AB41" s="1269"/>
      <c r="AC41" s="1269"/>
      <c r="AD41" s="1879">
        <f ca="1">OFFSET(AD41,0,-1)+1</f>
        <v>1</v>
      </c>
      <c r="AE41" s="1879">
        <f ca="1">OFFSET(AE41,0,-1)+1</f>
        <v>2</v>
      </c>
      <c r="AF41" s="1879">
        <f ca="1">OFFSET(AF41,0,-1)+1</f>
        <v>3</v>
      </c>
      <c r="AG41" s="2205">
        <f ca="1">OFFSET(AG41,0,-1)+1</f>
        <v>4</v>
      </c>
      <c r="AH41" s="2205"/>
      <c r="AI41" s="1879">
        <f ca="1">OFFSET(AI41,0,-2)+1</f>
        <v>5</v>
      </c>
      <c r="AJ41" s="1173">
        <f ca="1">OFFSET(AJ41,0,-1)</f>
        <v>5</v>
      </c>
      <c r="AK41" s="1879">
        <f ca="1">OFFSET(AK41,0,-1)+1</f>
        <v>6</v>
      </c>
      <c r="AL41" s="1564"/>
      <c r="AM41" s="1564"/>
      <c r="AN41" s="1564"/>
      <c r="AO41" s="1564"/>
      <c r="AP41" s="1564"/>
      <c r="AQ41" s="1569">
        <v>0</v>
      </c>
    </row>
    <row r="42" spans="1:43" ht="107.25" customHeight="1">
      <c r="A42" s="1195" t="s">
        <v>204</v>
      </c>
      <c r="B42" s="1195"/>
      <c r="C42" s="1195"/>
      <c r="D42" s="1195"/>
      <c r="E42" s="2220">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123</v>
      </c>
      <c r="U42" s="238"/>
      <c r="V42" s="2189"/>
      <c r="W42" s="2189"/>
      <c r="X42" s="2189"/>
      <c r="Y42" s="2189"/>
      <c r="Z42" s="2189"/>
      <c r="AA42" s="2190"/>
      <c r="AB42" s="1875"/>
      <c r="AC42" s="2189" t="str">
        <f>INDEX(PT_DIFFERENTIATION_NTAR,MATCH(A42,PT_DIFFERENTIATION_NTAR_ID,0))</f>
        <v/>
      </c>
      <c r="AD42" s="2189"/>
      <c r="AE42" s="2189"/>
      <c r="AF42" s="2189"/>
      <c r="AG42" s="2189"/>
      <c r="AH42" s="2189"/>
      <c r="AI42" s="2189"/>
      <c r="AJ42" s="2190"/>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2"/>
      <c r="AN42" s="1552" t="str">
        <f t="shared" ref="AN42:AN56" si="1">IF(T42="","",T42)</f>
        <v>Наименование тарифа</v>
      </c>
      <c r="AO42" s="1552"/>
      <c r="AP42" s="1552"/>
      <c r="AQ42" s="1559">
        <v>102</v>
      </c>
    </row>
    <row r="43" spans="1:43" ht="21.95" customHeight="1">
      <c r="A43" s="1195" t="s">
        <v>204</v>
      </c>
      <c r="B43" s="1195" t="s">
        <v>205</v>
      </c>
      <c r="C43" s="1195"/>
      <c r="D43" s="1195"/>
      <c r="E43" s="2221"/>
      <c r="F43" s="2220">
        <v>1</v>
      </c>
      <c r="G43" s="1195"/>
      <c r="H43" s="1195"/>
      <c r="I43" s="1195"/>
      <c r="J43" s="1195"/>
      <c r="K43" s="1195"/>
      <c r="L43" s="1238"/>
      <c r="M43" s="1538"/>
      <c r="N43" s="1538"/>
      <c r="O43" s="1538"/>
      <c r="P43" s="1892"/>
      <c r="Q43" s="1339"/>
      <c r="R43" s="291"/>
      <c r="S43" s="1881" t="str">
        <f>INDEX(PT_DIFFERENTIATION_NUM_TER,MATCH(B43,PT_DIFFERENTIATION_TER_ID,0))</f>
        <v>.</v>
      </c>
      <c r="T43" s="1450" t="s">
        <v>395</v>
      </c>
      <c r="U43" s="238"/>
      <c r="V43" s="2189"/>
      <c r="W43" s="2189"/>
      <c r="X43" s="2189"/>
      <c r="Y43" s="2189"/>
      <c r="Z43" s="2189"/>
      <c r="AA43" s="2190"/>
      <c r="AB43" s="1875"/>
      <c r="AC43" s="2189" t="str">
        <f>INDEX(PT_DIFFERENTIATION_TER,MATCH(B43,PT_DIFFERENTIATION_TER_ID,0))</f>
        <v/>
      </c>
      <c r="AD43" s="2189"/>
      <c r="AE43" s="2189"/>
      <c r="AF43" s="2189"/>
      <c r="AG43" s="2189"/>
      <c r="AH43" s="2189"/>
      <c r="AI43" s="2189"/>
      <c r="AJ43" s="2190"/>
      <c r="AK43" s="1186" t="s">
        <v>396</v>
      </c>
      <c r="AM43" s="1552"/>
      <c r="AN43" s="1552" t="str">
        <f t="shared" si="1"/>
        <v>Территория действия тарифа</v>
      </c>
      <c r="AO43" s="1552"/>
      <c r="AP43" s="1552"/>
      <c r="AQ43" s="1559">
        <v>21</v>
      </c>
    </row>
    <row r="44" spans="1:43" ht="24" customHeight="1">
      <c r="A44" s="1195" t="s">
        <v>204</v>
      </c>
      <c r="B44" s="1195" t="s">
        <v>205</v>
      </c>
      <c r="C44" s="1195" t="s">
        <v>206</v>
      </c>
      <c r="D44" s="1195"/>
      <c r="E44" s="2221"/>
      <c r="F44" s="2221"/>
      <c r="G44" s="2220">
        <v>1</v>
      </c>
      <c r="H44" s="1195"/>
      <c r="I44" s="1195"/>
      <c r="J44" s="1195"/>
      <c r="K44" s="1195"/>
      <c r="L44" s="1238"/>
      <c r="M44" s="1538"/>
      <c r="N44" s="1538"/>
      <c r="O44" s="1538"/>
      <c r="P44" s="1340"/>
      <c r="Q44" s="1339"/>
      <c r="R44" s="291"/>
      <c r="S44" s="1881" t="str">
        <f>INDEX(PT_DIFFERENTIATION_NUM_CS,MATCH(C44,PT_DIFFERENTIATION_CS_ID,0))</f>
        <v>..</v>
      </c>
      <c r="T44" s="247" t="s">
        <v>397</v>
      </c>
      <c r="U44" s="238"/>
      <c r="V44" s="2189"/>
      <c r="W44" s="2189"/>
      <c r="X44" s="2189"/>
      <c r="Y44" s="2189"/>
      <c r="Z44" s="2189"/>
      <c r="AA44" s="2190"/>
      <c r="AB44" s="1875"/>
      <c r="AC44" s="2189" t="str">
        <f>INDEX(PT_DIFFERENTIATION_CS,MATCH(C44,PT_DIFFERENTIATION_CS_ID,0))</f>
        <v/>
      </c>
      <c r="AD44" s="2189"/>
      <c r="AE44" s="2189"/>
      <c r="AF44" s="2189"/>
      <c r="AG44" s="2189"/>
      <c r="AH44" s="2189"/>
      <c r="AI44" s="2189"/>
      <c r="AJ44" s="2190"/>
      <c r="AK44" s="1186" t="s">
        <v>398</v>
      </c>
      <c r="AM44" s="1552"/>
      <c r="AN44" s="1552" t="str">
        <f t="shared" si="1"/>
        <v xml:space="preserve">Наименование системы теплоснабжения </v>
      </c>
      <c r="AO44" s="1552"/>
      <c r="AP44" s="1552"/>
      <c r="AQ44" s="1559">
        <v>23</v>
      </c>
    </row>
    <row r="45" spans="1:43" ht="21.95" customHeight="1">
      <c r="A45" s="1195" t="s">
        <v>204</v>
      </c>
      <c r="B45" s="1195" t="s">
        <v>205</v>
      </c>
      <c r="C45" s="1195" t="s">
        <v>206</v>
      </c>
      <c r="D45" s="1195" t="s">
        <v>207</v>
      </c>
      <c r="E45" s="2221"/>
      <c r="F45" s="2221"/>
      <c r="G45" s="2221"/>
      <c r="H45" s="2220">
        <v>1</v>
      </c>
      <c r="I45" s="1195"/>
      <c r="J45" s="1195"/>
      <c r="K45" s="1195"/>
      <c r="L45" s="1238"/>
      <c r="M45" s="1538"/>
      <c r="N45" s="1538"/>
      <c r="O45" s="1538"/>
      <c r="P45" s="1340"/>
      <c r="Q45" s="1339"/>
      <c r="R45" s="291"/>
      <c r="S45" s="1881" t="str">
        <f>INDEX(PT_DIFFERENTIATION_NUM_IST_TE,MATCH(D45,PT_DIFFERENTIATION_IST_TE_ID,0))</f>
        <v>...</v>
      </c>
      <c r="T45" s="248" t="s">
        <v>399</v>
      </c>
      <c r="U45" s="238"/>
      <c r="V45" s="2189"/>
      <c r="W45" s="2189"/>
      <c r="X45" s="2189"/>
      <c r="Y45" s="2189"/>
      <c r="Z45" s="2189"/>
      <c r="AA45" s="2190"/>
      <c r="AB45" s="1875"/>
      <c r="AC45" s="2189" t="str">
        <f>INDEX(PT_DIFFERENTIATION_IST_TE,MATCH(D45,PT_DIFFERENTIATION_IST_TE_ID,0))</f>
        <v/>
      </c>
      <c r="AD45" s="2189"/>
      <c r="AE45" s="2189"/>
      <c r="AF45" s="2189"/>
      <c r="AG45" s="2189"/>
      <c r="AH45" s="2189"/>
      <c r="AI45" s="2189"/>
      <c r="AJ45" s="2190"/>
      <c r="AK45" s="1186" t="s">
        <v>400</v>
      </c>
      <c r="AM45" s="1552"/>
      <c r="AN45" s="1552" t="str">
        <f t="shared" si="1"/>
        <v xml:space="preserve">Источник тепловой энергии  </v>
      </c>
      <c r="AO45" s="1552"/>
      <c r="AP45" s="1552"/>
      <c r="AQ45" s="1559">
        <v>21</v>
      </c>
    </row>
    <row r="46" spans="1:43" s="1570" customFormat="1" ht="0" hidden="1" customHeight="1">
      <c r="A46" s="1303" t="s">
        <v>204</v>
      </c>
      <c r="B46" s="1303" t="s">
        <v>205</v>
      </c>
      <c r="C46" s="1303" t="s">
        <v>206</v>
      </c>
      <c r="D46" s="1303" t="s">
        <v>207</v>
      </c>
      <c r="E46" s="2221"/>
      <c r="F46" s="2221"/>
      <c r="G46" s="2221"/>
      <c r="H46" s="2221"/>
      <c r="I46" s="2066" t="str">
        <f>S45&amp;".1"</f>
        <v>....1</v>
      </c>
      <c r="J46" s="1303"/>
      <c r="K46" s="1303"/>
      <c r="L46" s="1309" t="s">
        <v>401</v>
      </c>
      <c r="M46" s="1174"/>
      <c r="N46" s="1174"/>
      <c r="O46" s="1174"/>
      <c r="P46" s="2198">
        <v>1</v>
      </c>
      <c r="Q46" s="1877"/>
      <c r="R46" s="294"/>
      <c r="S46" s="973"/>
      <c r="T46" s="1311"/>
      <c r="U46" s="1312"/>
      <c r="V46" s="2226"/>
      <c r="W46" s="2226"/>
      <c r="X46" s="2226"/>
      <c r="Y46" s="2226"/>
      <c r="Z46" s="2226"/>
      <c r="AA46" s="2227"/>
      <c r="AB46" s="1883"/>
      <c r="AC46" s="2226"/>
      <c r="AD46" s="2226"/>
      <c r="AE46" s="2226"/>
      <c r="AF46" s="2226"/>
      <c r="AG46" s="2226"/>
      <c r="AH46" s="2226"/>
      <c r="AI46" s="2226"/>
      <c r="AJ46" s="2227"/>
      <c r="AK46" s="1313"/>
      <c r="AM46" s="1552"/>
      <c r="AN46" s="1552" t="str">
        <f t="shared" si="1"/>
        <v/>
      </c>
      <c r="AO46" s="1552"/>
      <c r="AP46" s="1552"/>
      <c r="AQ46" s="1564">
        <v>0</v>
      </c>
    </row>
    <row r="47" spans="1:43" s="1570" customFormat="1" ht="0" hidden="1" customHeight="1">
      <c r="A47" s="1303" t="s">
        <v>204</v>
      </c>
      <c r="B47" s="1303" t="s">
        <v>205</v>
      </c>
      <c r="C47" s="1303" t="s">
        <v>206</v>
      </c>
      <c r="D47" s="1303" t="s">
        <v>207</v>
      </c>
      <c r="E47" s="2221"/>
      <c r="F47" s="2221"/>
      <c r="G47" s="2221"/>
      <c r="H47" s="2221"/>
      <c r="I47" s="2048"/>
      <c r="J47" s="2066" t="str">
        <f>S45&amp;".1"</f>
        <v>....1</v>
      </c>
      <c r="K47" s="1303"/>
      <c r="L47" s="1309"/>
      <c r="M47" s="1174"/>
      <c r="N47" s="1174"/>
      <c r="O47" s="1174"/>
      <c r="P47" s="2198"/>
      <c r="Q47" s="2198">
        <v>1</v>
      </c>
      <c r="R47" s="295"/>
      <c r="S47" s="973"/>
      <c r="T47" s="1327"/>
      <c r="U47" s="1312"/>
      <c r="V47" s="2226"/>
      <c r="W47" s="2226"/>
      <c r="X47" s="2226"/>
      <c r="Y47" s="2226"/>
      <c r="Z47" s="2226"/>
      <c r="AA47" s="2227"/>
      <c r="AB47" s="1883"/>
      <c r="AC47" s="2226"/>
      <c r="AD47" s="2226"/>
      <c r="AE47" s="2226"/>
      <c r="AF47" s="2226"/>
      <c r="AG47" s="2226"/>
      <c r="AH47" s="2226"/>
      <c r="AI47" s="2226"/>
      <c r="AJ47" s="2227"/>
      <c r="AK47" s="1313"/>
      <c r="AM47" s="1552"/>
      <c r="AN47" s="1552" t="str">
        <f t="shared" si="1"/>
        <v/>
      </c>
      <c r="AO47" s="1552"/>
      <c r="AP47" s="1552"/>
      <c r="AQ47" s="1564">
        <v>0</v>
      </c>
    </row>
    <row r="48" spans="1:43" ht="21.95" customHeight="1">
      <c r="A48" s="1195" t="s">
        <v>204</v>
      </c>
      <c r="B48" s="1195" t="s">
        <v>205</v>
      </c>
      <c r="C48" s="1195" t="s">
        <v>206</v>
      </c>
      <c r="D48" s="1195" t="s">
        <v>207</v>
      </c>
      <c r="E48" s="2221"/>
      <c r="F48" s="2221"/>
      <c r="G48" s="2221"/>
      <c r="H48" s="2221"/>
      <c r="I48" s="2048"/>
      <c r="J48" s="2048"/>
      <c r="K48" s="1864" t="str">
        <f>S45&amp;".1"</f>
        <v>....1</v>
      </c>
      <c r="L48" s="1238"/>
      <c r="P48" s="2198"/>
      <c r="Q48" s="2198"/>
      <c r="R48" s="295">
        <v>1</v>
      </c>
      <c r="S48" s="1885" t="str">
        <f>$K48</f>
        <v>....1</v>
      </c>
      <c r="T48" s="1884"/>
      <c r="U48" s="238"/>
      <c r="V48" s="689"/>
      <c r="W48" s="1185"/>
      <c r="X48" s="1878"/>
      <c r="Y48" s="1865" t="s">
        <v>65</v>
      </c>
      <c r="Z48" s="1878"/>
      <c r="AA48" s="1865" t="s">
        <v>65</v>
      </c>
      <c r="AB48" s="1887"/>
      <c r="AC48" s="1886" t="s">
        <v>22</v>
      </c>
      <c r="AD48" s="689"/>
      <c r="AE48" s="1185"/>
      <c r="AF48" s="1878"/>
      <c r="AG48" s="1865" t="s">
        <v>65</v>
      </c>
      <c r="AH48" s="1878"/>
      <c r="AI48" s="1865" t="s">
        <v>65</v>
      </c>
      <c r="AJ48" s="1276"/>
      <c r="AK48" s="2217" t="s">
        <v>478</v>
      </c>
      <c r="AL48" s="1564" t="e">
        <f ca="1">STRCHECKDATE(#REF!)</f>
        <v>#NAME?</v>
      </c>
      <c r="AM48" s="1552"/>
      <c r="AN48" s="1552" t="str">
        <f t="shared" si="1"/>
        <v/>
      </c>
      <c r="AO48" s="1552"/>
      <c r="AP48" s="1552"/>
      <c r="AQ48" s="1559">
        <v>21</v>
      </c>
    </row>
    <row r="49" spans="1:43" ht="11.45" customHeight="1">
      <c r="A49" s="1195" t="s">
        <v>204</v>
      </c>
      <c r="B49" s="1195" t="s">
        <v>205</v>
      </c>
      <c r="C49" s="1195" t="s">
        <v>206</v>
      </c>
      <c r="D49" s="1195" t="s">
        <v>207</v>
      </c>
      <c r="E49" s="2221"/>
      <c r="F49" s="2221"/>
      <c r="G49" s="2221"/>
      <c r="H49" s="2221"/>
      <c r="I49" s="2048"/>
      <c r="J49" s="2066"/>
      <c r="K49" s="1195"/>
      <c r="L49" s="1238"/>
      <c r="P49" s="2198"/>
      <c r="Q49" s="2198"/>
      <c r="R49" s="294"/>
      <c r="S49" s="1206"/>
      <c r="T49" s="225" t="s">
        <v>466</v>
      </c>
      <c r="U49" s="538"/>
      <c r="V49" s="538"/>
      <c r="W49" s="538"/>
      <c r="X49" s="538"/>
      <c r="Y49" s="538"/>
      <c r="Z49" s="538"/>
      <c r="AA49" s="262"/>
      <c r="AB49" s="538"/>
      <c r="AC49" s="538"/>
      <c r="AD49" s="538"/>
      <c r="AE49" s="538"/>
      <c r="AF49" s="538"/>
      <c r="AG49" s="538"/>
      <c r="AH49" s="538"/>
      <c r="AI49" s="538"/>
      <c r="AJ49" s="262"/>
      <c r="AK49" s="2219"/>
      <c r="AM49" s="1552"/>
      <c r="AN49" s="1552" t="str">
        <f t="shared" si="1"/>
        <v>Добавить строку</v>
      </c>
      <c r="AO49" s="1552"/>
      <c r="AP49" s="1552"/>
      <c r="AQ49" s="1559">
        <v>11</v>
      </c>
    </row>
    <row r="50" spans="1:43" s="1570" customFormat="1" ht="1.1499999999999999" customHeight="1">
      <c r="A50" s="1303" t="s">
        <v>204</v>
      </c>
      <c r="B50" s="1303" t="s">
        <v>205</v>
      </c>
      <c r="C50" s="1303" t="s">
        <v>206</v>
      </c>
      <c r="D50" s="1303" t="s">
        <v>207</v>
      </c>
      <c r="E50" s="2221"/>
      <c r="F50" s="2221"/>
      <c r="G50" s="2221"/>
      <c r="H50" s="2221"/>
      <c r="I50" s="2066"/>
      <c r="J50" s="1303"/>
      <c r="K50" s="1303"/>
      <c r="L50" s="1309"/>
      <c r="M50" s="1174"/>
      <c r="N50" s="1174"/>
      <c r="O50" s="1174"/>
      <c r="P50" s="2198"/>
      <c r="Q50" s="1877"/>
      <c r="R50" s="294"/>
      <c r="S50" s="1314"/>
      <c r="T50" s="1315" t="s">
        <v>410</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1499999999999999" customHeight="1">
      <c r="A51" s="1303" t="s">
        <v>204</v>
      </c>
      <c r="B51" s="1303" t="s">
        <v>205</v>
      </c>
      <c r="C51" s="1303" t="s">
        <v>206</v>
      </c>
      <c r="D51" s="1303" t="s">
        <v>207</v>
      </c>
      <c r="E51" s="2221"/>
      <c r="F51" s="2221"/>
      <c r="G51" s="2221"/>
      <c r="H51" s="2220"/>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1499999999999999" customHeight="1">
      <c r="A52" s="1303" t="s">
        <v>204</v>
      </c>
      <c r="B52" s="1303" t="s">
        <v>205</v>
      </c>
      <c r="C52" s="1303" t="s">
        <v>206</v>
      </c>
      <c r="D52" s="1302"/>
      <c r="E52" s="2221"/>
      <c r="F52" s="2221"/>
      <c r="G52" s="2220"/>
      <c r="H52" s="1302"/>
      <c r="I52" s="1302"/>
      <c r="J52" s="1302"/>
      <c r="K52" s="1302"/>
      <c r="L52" s="1305"/>
      <c r="M52" s="1306"/>
      <c r="N52" s="1306"/>
      <c r="O52" s="289"/>
      <c r="P52" s="1244"/>
      <c r="Q52" s="1245"/>
      <c r="R52" s="1244"/>
      <c r="S52" s="1250"/>
      <c r="T52" s="1253" t="s">
        <v>412</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1499999999999999" customHeight="1">
      <c r="A53" s="1303" t="s">
        <v>204</v>
      </c>
      <c r="B53" s="1303" t="s">
        <v>205</v>
      </c>
      <c r="C53" s="1302"/>
      <c r="D53" s="1302"/>
      <c r="E53" s="2221"/>
      <c r="F53" s="2220"/>
      <c r="G53" s="1302"/>
      <c r="H53" s="1302"/>
      <c r="I53" s="1302"/>
      <c r="J53" s="1302"/>
      <c r="K53" s="1302"/>
      <c r="L53" s="1305"/>
      <c r="M53" s="1307"/>
      <c r="N53" s="1307"/>
      <c r="O53" s="289"/>
      <c r="P53" s="1244"/>
      <c r="Q53" s="1245"/>
      <c r="R53" s="1244"/>
      <c r="S53" s="1250"/>
      <c r="T53" s="1253" t="s">
        <v>413</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1499999999999999" customHeight="1">
      <c r="A54" s="1303" t="s">
        <v>204</v>
      </c>
      <c r="B54" s="1303"/>
      <c r="C54" s="1303"/>
      <c r="D54" s="1303"/>
      <c r="E54" s="2221"/>
      <c r="F54" s="1303"/>
      <c r="G54" s="1303"/>
      <c r="H54" s="1303"/>
      <c r="I54" s="1303"/>
      <c r="J54" s="1303"/>
      <c r="K54" s="1303"/>
      <c r="L54" s="1309"/>
      <c r="M54" s="1307"/>
      <c r="N54" s="1307"/>
      <c r="O54" s="289"/>
      <c r="P54" s="318"/>
      <c r="Q54" s="1272"/>
      <c r="R54" s="318"/>
      <c r="S54" s="1250"/>
      <c r="T54" s="1253" t="s">
        <v>414</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1499999999999999" customHeight="1">
      <c r="A55" s="1303" t="s">
        <v>204</v>
      </c>
      <c r="B55" s="1303"/>
      <c r="C55" s="1303"/>
      <c r="D55" s="1303"/>
      <c r="E55" s="2220"/>
      <c r="F55" s="1303"/>
      <c r="G55" s="1303"/>
      <c r="H55" s="1303"/>
      <c r="I55" s="1303"/>
      <c r="J55" s="1303"/>
      <c r="K55" s="1303"/>
      <c r="L55" s="1309"/>
      <c r="M55" s="1307"/>
      <c r="N55" s="1307"/>
      <c r="O55" s="289"/>
      <c r="P55" s="318"/>
      <c r="Q55" s="1272"/>
      <c r="R55" s="318"/>
      <c r="S55" s="1250"/>
      <c r="T55" s="1253" t="s">
        <v>414</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1499999999999999" customHeight="1">
      <c r="A56" s="1302"/>
      <c r="B56" s="1302"/>
      <c r="C56" s="1302"/>
      <c r="D56" s="1302"/>
      <c r="E56" s="1303"/>
      <c r="F56" s="1302"/>
      <c r="G56" s="1302"/>
      <c r="H56" s="1302"/>
      <c r="I56" s="1302"/>
      <c r="J56" s="1302"/>
      <c r="K56" s="1302"/>
      <c r="L56" s="1305"/>
      <c r="M56" s="1307"/>
      <c r="N56" s="1307"/>
      <c r="O56" s="289"/>
      <c r="P56" s="1244"/>
      <c r="Q56" s="1245"/>
      <c r="R56" s="1244"/>
      <c r="S56" s="1250"/>
      <c r="T56" s="1253" t="s">
        <v>446</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45" customHeight="1">
      <c r="M57" s="1559"/>
      <c r="N57" s="1559"/>
      <c r="O57" s="1563"/>
      <c r="P57" s="1294"/>
      <c r="Q57" s="1294"/>
      <c r="R57" s="1559"/>
      <c r="S57" s="1559"/>
      <c r="AL57" s="1559"/>
      <c r="AM57" s="1559"/>
      <c r="AN57" s="1559"/>
      <c r="AO57" s="1559"/>
      <c r="AP57" s="1559"/>
      <c r="AQ57" s="1559">
        <v>11</v>
      </c>
    </row>
    <row r="58" spans="1:43" ht="19.899999999999999" customHeight="1">
      <c r="O58" s="1563"/>
      <c r="S58" s="1181"/>
      <c r="T58" s="2193"/>
      <c r="U58" s="2193"/>
      <c r="V58" s="2193"/>
      <c r="W58" s="2193"/>
      <c r="X58" s="2193"/>
      <c r="Y58" s="2193"/>
      <c r="Z58" s="2193"/>
      <c r="AA58" s="2193"/>
      <c r="AB58" s="2193"/>
      <c r="AC58" s="2193"/>
      <c r="AD58" s="2193"/>
      <c r="AE58" s="2193"/>
      <c r="AF58" s="2193"/>
      <c r="AG58" s="2193"/>
      <c r="AH58" s="2193"/>
      <c r="AI58" s="2193"/>
      <c r="AJ58" s="2193"/>
      <c r="AK58" s="2193"/>
      <c r="AQ58" s="1559">
        <v>19</v>
      </c>
    </row>
    <row r="59" spans="1:43" ht="21" customHeight="1">
      <c r="O59" s="1563"/>
      <c r="T59" s="2193"/>
      <c r="U59" s="2193"/>
      <c r="V59" s="2193"/>
      <c r="W59" s="2193"/>
      <c r="X59" s="2193"/>
      <c r="Y59" s="2193"/>
      <c r="Z59" s="2193"/>
      <c r="AA59" s="2193"/>
      <c r="AB59" s="2193"/>
      <c r="AC59" s="2193"/>
      <c r="AD59" s="2193"/>
      <c r="AE59" s="2193"/>
      <c r="AF59" s="2193"/>
      <c r="AG59" s="2193"/>
      <c r="AH59" s="2193"/>
      <c r="AI59" s="2193"/>
      <c r="AJ59" s="2193"/>
      <c r="AK59" s="2193"/>
      <c r="AQ59" s="1559">
        <v>20</v>
      </c>
    </row>
    <row r="60" spans="1:43" ht="14.65"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899999999999999" customHeight="1">
      <c r="O61" s="1563"/>
      <c r="T61" s="2193"/>
      <c r="U61" s="2193"/>
      <c r="V61" s="2193"/>
      <c r="W61" s="2193"/>
      <c r="X61" s="2193"/>
      <c r="Y61" s="2193"/>
      <c r="Z61" s="2193"/>
      <c r="AA61" s="2193"/>
      <c r="AB61" s="2193"/>
      <c r="AC61" s="2193"/>
      <c r="AD61" s="2193"/>
      <c r="AE61" s="2193"/>
      <c r="AF61" s="2193"/>
      <c r="AG61" s="2193"/>
      <c r="AH61" s="2193"/>
      <c r="AI61" s="2193"/>
      <c r="AJ61" s="2193"/>
      <c r="AK61" s="2193"/>
      <c r="AQ61" s="1559">
        <v>19</v>
      </c>
    </row>
    <row r="62" spans="1:43" ht="16.899999999999999" customHeight="1">
      <c r="O62" s="1563"/>
      <c r="T62" s="2193"/>
      <c r="U62" s="2193"/>
      <c r="V62" s="2193"/>
      <c r="W62" s="2193"/>
      <c r="X62" s="2193"/>
      <c r="Y62" s="2193"/>
      <c r="Z62" s="2193"/>
      <c r="AA62" s="2193"/>
      <c r="AB62" s="2193"/>
      <c r="AC62" s="2193"/>
      <c r="AD62" s="2193"/>
      <c r="AE62" s="2193"/>
      <c r="AF62" s="2193"/>
      <c r="AG62" s="2193"/>
      <c r="AH62" s="2193"/>
      <c r="AI62" s="2193"/>
      <c r="AJ62" s="2193"/>
      <c r="AK62" s="2193"/>
      <c r="AQ62" s="1559">
        <v>16</v>
      </c>
    </row>
    <row r="63" spans="1:43" ht="14.65" customHeight="1">
      <c r="O63" s="1563"/>
      <c r="AQ63" s="1559">
        <v>14</v>
      </c>
    </row>
    <row r="64" spans="1:43" ht="22.5" hidden="1" customHeight="1">
      <c r="A64" s="1559" t="s">
        <v>81</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94">
        <v>1</v>
      </c>
      <c r="F2" s="1291"/>
      <c r="G2" s="1291"/>
      <c r="H2" s="1291"/>
      <c r="I2" s="1291"/>
      <c r="J2" s="1291"/>
      <c r="K2" s="1291"/>
      <c r="L2" s="1292"/>
      <c r="M2" s="1293"/>
      <c r="N2" s="1293"/>
      <c r="O2" s="1293"/>
      <c r="P2" s="1337"/>
      <c r="Q2" s="805"/>
      <c r="R2" s="293"/>
      <c r="S2" s="1393" t="e">
        <f>INDEX(PT_DIFFERENTIATION_NUM_NTAR,MATCH(A2,PT_DIFFERENTIATION_NTAR_ID,0))</f>
        <v>#N/A</v>
      </c>
      <c r="T2" s="236" t="s">
        <v>123</v>
      </c>
      <c r="U2" s="238"/>
      <c r="V2" s="2189"/>
      <c r="W2" s="2189"/>
      <c r="X2" s="2189"/>
      <c r="Y2" s="2189"/>
      <c r="Z2" s="2189"/>
      <c r="AA2" s="2189"/>
      <c r="AB2" s="2189"/>
      <c r="AC2" s="2190"/>
      <c r="AD2" s="2188" t="e">
        <f>INDEX(PT_DIFFERENTIATION_NTAR,MATCH(A2,PT_DIFFERENTIATION_NTAR_ID,0))</f>
        <v>#N/A</v>
      </c>
      <c r="AE2" s="2189"/>
      <c r="AF2" s="2189"/>
      <c r="AG2" s="2189"/>
      <c r="AH2" s="2189"/>
      <c r="AI2" s="2189"/>
      <c r="AJ2" s="2189"/>
      <c r="AK2" s="2189"/>
      <c r="AL2" s="2189"/>
      <c r="AM2" s="2189"/>
      <c r="AN2" s="2189"/>
      <c r="AO2" s="2189"/>
      <c r="AP2" s="2189"/>
      <c r="AQ2" s="2189"/>
      <c r="AR2" s="2189"/>
      <c r="AS2" s="2189"/>
      <c r="AT2" s="2189"/>
      <c r="AU2" s="2189"/>
      <c r="AV2" s="2189"/>
      <c r="AW2" s="2189"/>
      <c r="AX2" s="2189"/>
      <c r="AY2" s="2189"/>
      <c r="AZ2" s="2189"/>
      <c r="BA2" s="2189"/>
      <c r="BB2" s="2190"/>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95"/>
      <c r="F3" s="2194">
        <v>1</v>
      </c>
      <c r="G3" s="1291"/>
      <c r="H3" s="1291"/>
      <c r="I3" s="1291"/>
      <c r="J3" s="1291"/>
      <c r="K3" s="1291"/>
      <c r="L3" s="1292"/>
      <c r="M3" s="1293"/>
      <c r="N3" s="1293"/>
      <c r="O3" s="1293"/>
      <c r="P3" s="1338"/>
      <c r="Q3" s="1339"/>
      <c r="R3" s="291"/>
      <c r="S3" s="1393" t="e">
        <f>INDEX(PT_DIFFERENTIATION_NUM_TER,MATCH(B3,PT_DIFFERENTIATION_TER_ID,0))</f>
        <v>#N/A</v>
      </c>
      <c r="T3" s="246" t="s">
        <v>395</v>
      </c>
      <c r="U3" s="238"/>
      <c r="V3" s="2189"/>
      <c r="W3" s="2189"/>
      <c r="X3" s="2189"/>
      <c r="Y3" s="2189"/>
      <c r="Z3" s="2189"/>
      <c r="AA3" s="2189"/>
      <c r="AB3" s="2189"/>
      <c r="AC3" s="2190"/>
      <c r="AD3" s="2188" t="e">
        <f>INDEX(PT_DIFFERENTIATION_TER,MATCH(B3,PT_DIFFERENTIATION_TER_ID,0))</f>
        <v>#N/A</v>
      </c>
      <c r="AE3" s="2189"/>
      <c r="AF3" s="2189"/>
      <c r="AG3" s="2189"/>
      <c r="AH3" s="2189"/>
      <c r="AI3" s="2189"/>
      <c r="AJ3" s="2189"/>
      <c r="AK3" s="2189"/>
      <c r="AL3" s="2189"/>
      <c r="AM3" s="2189"/>
      <c r="AN3" s="2189"/>
      <c r="AO3" s="2189"/>
      <c r="AP3" s="2189"/>
      <c r="AQ3" s="2189"/>
      <c r="AR3" s="2189"/>
      <c r="AS3" s="2189"/>
      <c r="AT3" s="2189"/>
      <c r="AU3" s="2189"/>
      <c r="AV3" s="2189"/>
      <c r="AW3" s="2189"/>
      <c r="AX3" s="2189"/>
      <c r="AY3" s="2189"/>
      <c r="AZ3" s="2189"/>
      <c r="BA3" s="2189"/>
      <c r="BB3" s="2190"/>
      <c r="BC3" s="1186" t="s">
        <v>396</v>
      </c>
      <c r="BE3" s="438"/>
      <c r="BF3" s="438" t="str">
        <f t="shared" si="0"/>
        <v>Территория действия тарифа</v>
      </c>
      <c r="BG3" s="438"/>
      <c r="BH3" s="438"/>
      <c r="BI3" s="1083">
        <v>0</v>
      </c>
    </row>
    <row r="4" spans="1:61" ht="42" hidden="1" customHeight="1">
      <c r="A4" s="1291"/>
      <c r="B4" s="1291"/>
      <c r="C4" s="1291"/>
      <c r="D4" s="1291"/>
      <c r="E4" s="2195"/>
      <c r="F4" s="2195"/>
      <c r="G4" s="2194">
        <v>1</v>
      </c>
      <c r="H4" s="1291"/>
      <c r="I4" s="1291"/>
      <c r="J4" s="1291"/>
      <c r="K4" s="1291"/>
      <c r="L4" s="1292"/>
      <c r="M4" s="1293"/>
      <c r="N4" s="1293"/>
      <c r="O4" s="1293"/>
      <c r="P4" s="1340"/>
      <c r="Q4" s="1339"/>
      <c r="R4" s="291"/>
      <c r="S4" s="1393" t="e">
        <f>INDEX(PT_DIFFERENTIATION_NUM_CS,MATCH(C4,PT_DIFFERENTIATION_CS_ID,0))</f>
        <v>#N/A</v>
      </c>
      <c r="T4" s="247" t="s">
        <v>479</v>
      </c>
      <c r="U4" s="238"/>
      <c r="V4" s="2189"/>
      <c r="W4" s="2189"/>
      <c r="X4" s="2189"/>
      <c r="Y4" s="2189"/>
      <c r="Z4" s="2189"/>
      <c r="AA4" s="2189"/>
      <c r="AB4" s="2189"/>
      <c r="AC4" s="2190"/>
      <c r="AD4" s="2188" t="e">
        <f>INDEX(PT_DIFFERENTIATION_CS,MATCH(C4,PT_DIFFERENTIATION_CS_ID,0))</f>
        <v>#N/A</v>
      </c>
      <c r="AE4" s="2189"/>
      <c r="AF4" s="2189"/>
      <c r="AG4" s="2189"/>
      <c r="AH4" s="2189"/>
      <c r="AI4" s="2189"/>
      <c r="AJ4" s="2189"/>
      <c r="AK4" s="2189"/>
      <c r="AL4" s="2189"/>
      <c r="AM4" s="2189"/>
      <c r="AN4" s="2189"/>
      <c r="AO4" s="2189"/>
      <c r="AP4" s="2189"/>
      <c r="AQ4" s="2189"/>
      <c r="AR4" s="2189"/>
      <c r="AS4" s="2189"/>
      <c r="AT4" s="2189"/>
      <c r="AU4" s="2189"/>
      <c r="AV4" s="2189"/>
      <c r="AW4" s="2189"/>
      <c r="AX4" s="2189"/>
      <c r="AY4" s="2189"/>
      <c r="AZ4" s="2189"/>
      <c r="BA4" s="2189"/>
      <c r="BB4" s="2190"/>
      <c r="BC4" s="1186" t="s">
        <v>480</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195"/>
      <c r="F5" s="2195"/>
      <c r="G5" s="2195"/>
      <c r="H5" s="2194">
        <v>1</v>
      </c>
      <c r="I5" s="1271"/>
      <c r="J5" s="1271"/>
      <c r="K5" s="1271"/>
      <c r="L5" s="1274"/>
      <c r="M5" s="1243"/>
      <c r="N5" s="1243"/>
      <c r="O5" s="1243"/>
      <c r="P5" s="1425"/>
      <c r="Q5" s="1426"/>
      <c r="R5" s="295"/>
      <c r="S5" s="973"/>
      <c r="T5" s="1427"/>
      <c r="U5" s="1312"/>
      <c r="V5" s="2226"/>
      <c r="W5" s="2226"/>
      <c r="X5" s="2226"/>
      <c r="Y5" s="2226"/>
      <c r="Z5" s="2226"/>
      <c r="AA5" s="2226"/>
      <c r="AB5" s="2226"/>
      <c r="AC5" s="2227"/>
      <c r="AD5" s="2225"/>
      <c r="AE5" s="2226"/>
      <c r="AF5" s="2226"/>
      <c r="AG5" s="2226"/>
      <c r="AH5" s="2226"/>
      <c r="AI5" s="2226"/>
      <c r="AJ5" s="2226"/>
      <c r="AK5" s="2226"/>
      <c r="AL5" s="2226"/>
      <c r="AM5" s="2226"/>
      <c r="AN5" s="2226"/>
      <c r="AO5" s="2226"/>
      <c r="AP5" s="2226"/>
      <c r="AQ5" s="2226"/>
      <c r="AR5" s="2226"/>
      <c r="AS5" s="2226"/>
      <c r="AT5" s="2226"/>
      <c r="AU5" s="2226"/>
      <c r="AV5" s="2226"/>
      <c r="AW5" s="2226"/>
      <c r="AX5" s="2226"/>
      <c r="AY5" s="2226"/>
      <c r="AZ5" s="2226"/>
      <c r="BA5" s="2226"/>
      <c r="BB5" s="2227"/>
      <c r="BC5" s="1313" t="s">
        <v>400</v>
      </c>
      <c r="BE5" s="438"/>
      <c r="BF5" s="438" t="str">
        <f t="shared" si="0"/>
        <v/>
      </c>
      <c r="BG5" s="438"/>
      <c r="BH5" s="438"/>
      <c r="BI5" s="449">
        <v>0</v>
      </c>
    </row>
    <row r="6" spans="1:61" s="1570" customFormat="1" ht="14.25" hidden="1" customHeight="1">
      <c r="A6" s="1271"/>
      <c r="B6" s="1271"/>
      <c r="C6" s="1271"/>
      <c r="D6" s="1271"/>
      <c r="E6" s="2195"/>
      <c r="F6" s="2195"/>
      <c r="G6" s="2195"/>
      <c r="H6" s="2195"/>
      <c r="I6" s="2196" t="str">
        <f>S5&amp;".1"</f>
        <v>.1</v>
      </c>
      <c r="J6" s="1271"/>
      <c r="K6" s="1271"/>
      <c r="L6" s="1274" t="s">
        <v>401</v>
      </c>
      <c r="M6" s="448"/>
      <c r="N6" s="448"/>
      <c r="O6" s="448"/>
      <c r="P6" s="2198">
        <v>1</v>
      </c>
      <c r="Q6" s="1390"/>
      <c r="R6" s="294"/>
      <c r="S6" s="973"/>
      <c r="T6" s="1311"/>
      <c r="U6" s="1312"/>
      <c r="V6" s="2226"/>
      <c r="W6" s="2226"/>
      <c r="X6" s="2226"/>
      <c r="Y6" s="2226"/>
      <c r="Z6" s="2226"/>
      <c r="AA6" s="2226"/>
      <c r="AB6" s="2226"/>
      <c r="AC6" s="2227"/>
      <c r="AD6" s="2225"/>
      <c r="AE6" s="2226"/>
      <c r="AF6" s="2226"/>
      <c r="AG6" s="2226"/>
      <c r="AH6" s="2226"/>
      <c r="AI6" s="2226"/>
      <c r="AJ6" s="2226"/>
      <c r="AK6" s="2226"/>
      <c r="AL6" s="2226"/>
      <c r="AM6" s="2226"/>
      <c r="AN6" s="2226"/>
      <c r="AO6" s="2226"/>
      <c r="AP6" s="2226"/>
      <c r="AQ6" s="2226"/>
      <c r="AR6" s="2226"/>
      <c r="AS6" s="2226"/>
      <c r="AT6" s="2226"/>
      <c r="AU6" s="2226"/>
      <c r="AV6" s="2226"/>
      <c r="AW6" s="2226"/>
      <c r="AX6" s="2226"/>
      <c r="AY6" s="2226"/>
      <c r="AZ6" s="2226"/>
      <c r="BA6" s="2226"/>
      <c r="BB6" s="2227"/>
      <c r="BC6" s="1313"/>
      <c r="BE6" s="438"/>
      <c r="BF6" s="438" t="str">
        <f t="shared" si="0"/>
        <v/>
      </c>
      <c r="BG6" s="438"/>
      <c r="BH6" s="438"/>
      <c r="BI6" s="449">
        <v>0</v>
      </c>
    </row>
    <row r="7" spans="1:61" s="1570" customFormat="1" ht="14.25" hidden="1" customHeight="1">
      <c r="A7" s="1271"/>
      <c r="B7" s="1271"/>
      <c r="C7" s="1271"/>
      <c r="D7" s="1271"/>
      <c r="E7" s="2195"/>
      <c r="F7" s="2195"/>
      <c r="G7" s="2195"/>
      <c r="H7" s="2195"/>
      <c r="I7" s="2197"/>
      <c r="J7" s="2196" t="str">
        <f>S5&amp;".1"</f>
        <v>.1</v>
      </c>
      <c r="K7" s="1271"/>
      <c r="L7" s="1274"/>
      <c r="M7" s="448"/>
      <c r="N7" s="448"/>
      <c r="O7" s="448"/>
      <c r="P7" s="2198"/>
      <c r="Q7" s="2198">
        <v>1</v>
      </c>
      <c r="R7" s="295"/>
      <c r="S7" s="973"/>
      <c r="T7" s="1327"/>
      <c r="U7" s="1312"/>
      <c r="V7" s="2226"/>
      <c r="W7" s="2226"/>
      <c r="X7" s="2226"/>
      <c r="Y7" s="2226"/>
      <c r="Z7" s="2226"/>
      <c r="AA7" s="2226"/>
      <c r="AB7" s="2226"/>
      <c r="AC7" s="2227"/>
      <c r="AD7" s="2225"/>
      <c r="AE7" s="2226"/>
      <c r="AF7" s="2226"/>
      <c r="AG7" s="2226"/>
      <c r="AH7" s="2226"/>
      <c r="AI7" s="2226"/>
      <c r="AJ7" s="2226"/>
      <c r="AK7" s="2226"/>
      <c r="AL7" s="2226"/>
      <c r="AM7" s="2226"/>
      <c r="AN7" s="2226"/>
      <c r="AO7" s="2226"/>
      <c r="AP7" s="2226"/>
      <c r="AQ7" s="2226"/>
      <c r="AR7" s="2226"/>
      <c r="AS7" s="2226"/>
      <c r="AT7" s="2226"/>
      <c r="AU7" s="2226"/>
      <c r="AV7" s="2226"/>
      <c r="AW7" s="2226"/>
      <c r="AX7" s="2226"/>
      <c r="AY7" s="2226"/>
      <c r="AZ7" s="2226"/>
      <c r="BA7" s="2226"/>
      <c r="BB7" s="2227"/>
      <c r="BC7" s="1313"/>
      <c r="BE7" s="438"/>
      <c r="BF7" s="438" t="str">
        <f t="shared" si="0"/>
        <v/>
      </c>
      <c r="BG7" s="438"/>
      <c r="BH7" s="438"/>
      <c r="BI7" s="449">
        <v>0</v>
      </c>
    </row>
    <row r="8" spans="1:61" ht="11.25" hidden="1" customHeight="1">
      <c r="A8" s="1291"/>
      <c r="B8" s="1291"/>
      <c r="C8" s="1291"/>
      <c r="D8" s="1291"/>
      <c r="E8" s="2195"/>
      <c r="F8" s="2195"/>
      <c r="G8" s="2195"/>
      <c r="H8" s="2195"/>
      <c r="I8" s="2197"/>
      <c r="J8" s="2197"/>
      <c r="K8" s="2196" t="e">
        <f>S4&amp;".1"</f>
        <v>#N/A</v>
      </c>
      <c r="L8" s="1292"/>
      <c r="P8" s="2198"/>
      <c r="Q8" s="2198"/>
      <c r="R8" s="2254">
        <v>1</v>
      </c>
      <c r="S8" s="2251" t="e">
        <f>$K8</f>
        <v>#N/A</v>
      </c>
      <c r="T8" s="2271"/>
      <c r="U8" s="238"/>
      <c r="V8" s="689"/>
      <c r="W8" s="1185"/>
      <c r="X8" s="689"/>
      <c r="Y8" s="1185"/>
      <c r="Z8" s="1661"/>
      <c r="AA8" s="1387" t="s">
        <v>65</v>
      </c>
      <c r="AB8" s="1661"/>
      <c r="AC8" s="1387" t="s">
        <v>65</v>
      </c>
      <c r="AD8" s="2138" t="s">
        <v>65</v>
      </c>
      <c r="AE8" s="2247"/>
      <c r="AF8" s="2151">
        <v>1</v>
      </c>
      <c r="AG8" s="2270"/>
      <c r="AH8" s="2076" t="s">
        <v>65</v>
      </c>
      <c r="AI8" s="2247"/>
      <c r="AJ8" s="2151">
        <v>1</v>
      </c>
      <c r="AK8" s="2261" t="s">
        <v>22</v>
      </c>
      <c r="AL8" s="2076" t="s">
        <v>65</v>
      </c>
      <c r="AM8" s="2126"/>
      <c r="AN8" s="2151">
        <v>1</v>
      </c>
      <c r="AO8" s="2274"/>
      <c r="AP8" s="2275" t="s">
        <v>65</v>
      </c>
      <c r="AQ8" s="249"/>
      <c r="AR8" s="1391">
        <v>1</v>
      </c>
      <c r="AS8" s="1394" t="s">
        <v>22</v>
      </c>
      <c r="AT8" s="689"/>
      <c r="AU8" s="1185"/>
      <c r="AV8" s="689"/>
      <c r="AW8" s="1185"/>
      <c r="AX8" s="1661"/>
      <c r="AY8" s="1387" t="s">
        <v>65</v>
      </c>
      <c r="AZ8" s="1661"/>
      <c r="BA8" s="1387" t="s">
        <v>65</v>
      </c>
      <c r="BB8" s="1276"/>
      <c r="BC8" s="2217" t="s">
        <v>499</v>
      </c>
      <c r="BE8" s="438"/>
      <c r="BF8" s="438" t="str">
        <f t="shared" si="0"/>
        <v/>
      </c>
      <c r="BG8" s="438"/>
      <c r="BH8" s="438"/>
      <c r="BI8" s="1083">
        <v>0</v>
      </c>
    </row>
    <row r="9" spans="1:61" ht="11.25" hidden="1" customHeight="1">
      <c r="A9" s="1291"/>
      <c r="B9" s="1291"/>
      <c r="C9" s="1291"/>
      <c r="D9" s="1291"/>
      <c r="E9" s="2195"/>
      <c r="F9" s="2195"/>
      <c r="G9" s="2195"/>
      <c r="H9" s="2195"/>
      <c r="I9" s="2197"/>
      <c r="J9" s="2197"/>
      <c r="K9" s="2196"/>
      <c r="L9" s="1292"/>
      <c r="P9" s="2198"/>
      <c r="Q9" s="2198"/>
      <c r="R9" s="2254"/>
      <c r="S9" s="2252"/>
      <c r="T9" s="2272"/>
      <c r="U9" s="238"/>
      <c r="V9" s="1321"/>
      <c r="W9" s="1424"/>
      <c r="X9" s="1321"/>
      <c r="Y9" s="1424"/>
      <c r="Z9" s="1321"/>
      <c r="AA9" s="1321"/>
      <c r="AB9" s="1321"/>
      <c r="AC9" s="1321"/>
      <c r="AD9" s="2139"/>
      <c r="AE9" s="2247"/>
      <c r="AF9" s="2151"/>
      <c r="AG9" s="2270"/>
      <c r="AH9" s="2076"/>
      <c r="AI9" s="2247"/>
      <c r="AJ9" s="2151"/>
      <c r="AK9" s="2261"/>
      <c r="AL9" s="2076"/>
      <c r="AM9" s="2131"/>
      <c r="AN9" s="2151"/>
      <c r="AO9" s="2274"/>
      <c r="AP9" s="2276"/>
      <c r="AQ9" s="254"/>
      <c r="AR9" s="354"/>
      <c r="AS9" s="354" t="s">
        <v>500</v>
      </c>
      <c r="AT9" s="1321"/>
      <c r="AU9" s="1424"/>
      <c r="AV9" s="1321"/>
      <c r="AW9" s="1424"/>
      <c r="AX9" s="1321"/>
      <c r="AY9" s="1321"/>
      <c r="AZ9" s="1321"/>
      <c r="BA9" s="1321"/>
      <c r="BB9" s="1325"/>
      <c r="BC9" s="2218"/>
      <c r="BE9" s="438"/>
      <c r="BF9" s="438"/>
      <c r="BG9" s="438"/>
      <c r="BH9" s="438"/>
      <c r="BI9" s="1083">
        <v>0</v>
      </c>
    </row>
    <row r="10" spans="1:61" ht="11.25" hidden="1" customHeight="1">
      <c r="A10" s="1291"/>
      <c r="B10" s="1291"/>
      <c r="C10" s="1291"/>
      <c r="D10" s="1291"/>
      <c r="E10" s="2195"/>
      <c r="F10" s="2195"/>
      <c r="G10" s="2195"/>
      <c r="H10" s="2195"/>
      <c r="I10" s="2197"/>
      <c r="J10" s="2197"/>
      <c r="K10" s="2196"/>
      <c r="L10" s="1292"/>
      <c r="P10" s="2198"/>
      <c r="Q10" s="2198"/>
      <c r="R10" s="2254"/>
      <c r="S10" s="2252"/>
      <c r="T10" s="2272"/>
      <c r="U10" s="238"/>
      <c r="V10" s="1321"/>
      <c r="W10" s="1424"/>
      <c r="X10" s="1321"/>
      <c r="Y10" s="1424"/>
      <c r="Z10" s="1321"/>
      <c r="AA10" s="1321"/>
      <c r="AB10" s="1321"/>
      <c r="AC10" s="1321"/>
      <c r="AD10" s="2139"/>
      <c r="AE10" s="2247"/>
      <c r="AF10" s="2151"/>
      <c r="AG10" s="2270"/>
      <c r="AH10" s="2076"/>
      <c r="AI10" s="2247"/>
      <c r="AJ10" s="2151"/>
      <c r="AK10" s="2261"/>
      <c r="AL10" s="2076"/>
      <c r="AM10" s="254"/>
      <c r="AN10" s="1428"/>
      <c r="AO10" s="1428" t="s">
        <v>501</v>
      </c>
      <c r="AP10" s="354"/>
      <c r="AQ10" s="354"/>
      <c r="AR10" s="354"/>
      <c r="AS10" s="1321"/>
      <c r="AT10" s="1321"/>
      <c r="AU10" s="1424"/>
      <c r="AV10" s="1321"/>
      <c r="AW10" s="1424"/>
      <c r="AX10" s="1321"/>
      <c r="AY10" s="1321"/>
      <c r="AZ10" s="1321"/>
      <c r="BA10" s="1321"/>
      <c r="BB10" s="1325"/>
      <c r="BC10" s="2218"/>
      <c r="BE10" s="438"/>
      <c r="BF10" s="438"/>
      <c r="BG10" s="438"/>
      <c r="BH10" s="438"/>
      <c r="BI10" s="1083">
        <v>0</v>
      </c>
    </row>
    <row r="11" spans="1:61" ht="11.25" hidden="1" customHeight="1">
      <c r="A11" s="1291"/>
      <c r="B11" s="1291"/>
      <c r="C11" s="1291"/>
      <c r="D11" s="1291"/>
      <c r="E11" s="2195"/>
      <c r="F11" s="2195"/>
      <c r="G11" s="2195"/>
      <c r="H11" s="2195"/>
      <c r="I11" s="2197"/>
      <c r="J11" s="2197"/>
      <c r="K11" s="2196"/>
      <c r="L11" s="1292"/>
      <c r="P11" s="2198"/>
      <c r="Q11" s="2198"/>
      <c r="R11" s="2254"/>
      <c r="S11" s="2252"/>
      <c r="T11" s="2272"/>
      <c r="U11" s="238"/>
      <c r="V11" s="1321"/>
      <c r="W11" s="1424"/>
      <c r="X11" s="1321"/>
      <c r="Y11" s="1424"/>
      <c r="Z11" s="1321"/>
      <c r="AA11" s="1321"/>
      <c r="AB11" s="1321"/>
      <c r="AC11" s="1321"/>
      <c r="AD11" s="2139"/>
      <c r="AE11" s="2247"/>
      <c r="AF11" s="2151"/>
      <c r="AG11" s="2270"/>
      <c r="AH11" s="2076"/>
      <c r="AI11" s="232"/>
      <c r="AJ11" s="353"/>
      <c r="AK11" s="251" t="s">
        <v>502</v>
      </c>
      <c r="AL11" s="1321"/>
      <c r="AM11" s="1321"/>
      <c r="AN11" s="1321"/>
      <c r="AO11" s="1321"/>
      <c r="AP11" s="1321"/>
      <c r="AQ11" s="1321"/>
      <c r="AR11" s="1321"/>
      <c r="AS11" s="1321"/>
      <c r="AT11" s="1321"/>
      <c r="AU11" s="1424"/>
      <c r="AV11" s="1321"/>
      <c r="AW11" s="1424"/>
      <c r="AX11" s="1321"/>
      <c r="AY11" s="1321"/>
      <c r="AZ11" s="1321"/>
      <c r="BA11" s="1321"/>
      <c r="BB11" s="1325"/>
      <c r="BC11" s="2218"/>
      <c r="BE11" s="438"/>
      <c r="BF11" s="438"/>
      <c r="BG11" s="438"/>
      <c r="BH11" s="438"/>
      <c r="BI11" s="1083">
        <v>0</v>
      </c>
    </row>
    <row r="12" spans="1:61" ht="11.25" hidden="1" customHeight="1">
      <c r="A12" s="1291"/>
      <c r="B12" s="1291"/>
      <c r="C12" s="1291"/>
      <c r="D12" s="1291"/>
      <c r="E12" s="2195"/>
      <c r="F12" s="2195"/>
      <c r="G12" s="2195"/>
      <c r="H12" s="2195"/>
      <c r="I12" s="2197"/>
      <c r="J12" s="2197"/>
      <c r="K12" s="2196"/>
      <c r="L12" s="1292"/>
      <c r="P12" s="2198"/>
      <c r="Q12" s="2198"/>
      <c r="R12" s="2254"/>
      <c r="S12" s="2253"/>
      <c r="T12" s="2273"/>
      <c r="U12" s="238"/>
      <c r="V12" s="1321"/>
      <c r="W12" s="1322" t="str">
        <f>Z8&amp;"-"&amp;AB8</f>
        <v>-</v>
      </c>
      <c r="X12" s="1321"/>
      <c r="Y12" s="1322" t="str">
        <f>AB8&amp;"-"&amp;AD8</f>
        <v>-да</v>
      </c>
      <c r="Z12" s="1321"/>
      <c r="AA12" s="1321"/>
      <c r="AB12" s="1321"/>
      <c r="AC12" s="1321"/>
      <c r="AD12" s="2081"/>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8"/>
      <c r="BE12" s="438"/>
      <c r="BF12" s="438" t="str">
        <f t="shared" ref="BF12:BF18" si="1">IF(T12="","",T12)</f>
        <v/>
      </c>
      <c r="BG12" s="438"/>
      <c r="BH12" s="438"/>
      <c r="BI12" s="1083">
        <v>0</v>
      </c>
    </row>
    <row r="13" spans="1:61" ht="11.25" hidden="1" customHeight="1">
      <c r="A13" s="1291"/>
      <c r="B13" s="1291"/>
      <c r="C13" s="1291"/>
      <c r="D13" s="1291"/>
      <c r="E13" s="2195"/>
      <c r="F13" s="2195"/>
      <c r="G13" s="2195"/>
      <c r="H13" s="2195"/>
      <c r="I13" s="2197"/>
      <c r="J13" s="2196"/>
      <c r="K13" s="1291"/>
      <c r="L13" s="1292"/>
      <c r="P13" s="2198"/>
      <c r="Q13" s="2198"/>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19"/>
      <c r="BE13" s="438"/>
      <c r="BF13" s="438" t="str">
        <f t="shared" si="1"/>
        <v>Добавить строку</v>
      </c>
      <c r="BG13" s="438"/>
      <c r="BH13" s="438"/>
      <c r="BI13" s="1083">
        <v>0</v>
      </c>
    </row>
    <row r="14" spans="1:61" s="1570" customFormat="1" ht="14.25" hidden="1" customHeight="1">
      <c r="A14" s="1271"/>
      <c r="B14" s="1271"/>
      <c r="C14" s="1271"/>
      <c r="D14" s="1271"/>
      <c r="E14" s="2195"/>
      <c r="F14" s="2195"/>
      <c r="G14" s="2195"/>
      <c r="H14" s="2195"/>
      <c r="I14" s="2196"/>
      <c r="J14" s="1271"/>
      <c r="K14" s="1271"/>
      <c r="L14" s="1274"/>
      <c r="M14" s="448"/>
      <c r="N14" s="448"/>
      <c r="O14" s="448"/>
      <c r="P14" s="2198"/>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95"/>
      <c r="F15" s="2195"/>
      <c r="G15" s="2195"/>
      <c r="H15" s="2194"/>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95"/>
      <c r="F16" s="2195"/>
      <c r="G16" s="2194"/>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95"/>
      <c r="F17" s="2194"/>
      <c r="G17" s="1242"/>
      <c r="H17" s="1242"/>
      <c r="I17" s="1242"/>
      <c r="J17" s="1242"/>
      <c r="K17" s="1242"/>
      <c r="L17" s="139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94"/>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65</v>
      </c>
      <c r="AZ20" s="1663"/>
      <c r="BA20" s="1388"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7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5"/>
      <c r="U28" s="2175"/>
      <c r="V28" s="2175"/>
      <c r="W28" s="2175"/>
      <c r="X28" s="2175"/>
      <c r="Y28" s="2175"/>
      <c r="Z28" s="2175"/>
      <c r="AA28" s="2175"/>
      <c r="AB28" s="2175"/>
      <c r="AC28" s="2175"/>
      <c r="AD28" s="2175"/>
      <c r="AE28" s="2175"/>
      <c r="AF28" s="2175"/>
      <c r="AG28" s="2175"/>
      <c r="AH28" s="2175"/>
      <c r="AI28" s="2175"/>
      <c r="AJ28" s="2175"/>
      <c r="AK28" s="2175"/>
      <c r="AL28" s="2175"/>
      <c r="AM28" s="2175"/>
      <c r="AN28" s="2175"/>
      <c r="AO28" s="2175"/>
      <c r="AP28" s="2175"/>
      <c r="AQ28" s="2175"/>
      <c r="AR28" s="2175"/>
      <c r="AS28" s="2175"/>
      <c r="AT28" s="2175"/>
      <c r="AU28" s="2175"/>
      <c r="AV28" s="2175"/>
      <c r="AW28" s="2175"/>
      <c r="AX28" s="2175"/>
      <c r="AY28" s="2175"/>
      <c r="AZ28" s="2175"/>
      <c r="BA28" s="1171"/>
      <c r="BI28" s="1083">
        <v>14</v>
      </c>
    </row>
    <row r="29" spans="1:61" ht="14.65" customHeight="1">
      <c r="Q29" s="229"/>
      <c r="R29" s="314"/>
      <c r="S29" s="2147" t="str">
        <f>IF(org=0,"Не определено",org)</f>
        <v>ООО "Профит"</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85" t="s">
        <v>42</v>
      </c>
      <c r="T31" s="2185"/>
      <c r="U31" s="1300"/>
      <c r="V31" s="2187" t="str">
        <f>IF(TITLE_NAME_OR_PR_CHANGE="",IF(TITLE_NAME_OR_PR="","",TITLE_NAME_OR_PR),TITLE_NAME_OR_PR_CHANGE)</f>
        <v/>
      </c>
      <c r="W31" s="2187"/>
      <c r="X31" s="2187"/>
      <c r="Y31" s="2187"/>
      <c r="Z31" s="2187"/>
      <c r="AA31" s="2187"/>
      <c r="AB31" s="2187"/>
      <c r="AC31" s="264"/>
      <c r="AD31" s="2187" t="str">
        <f>IF(TITLE_NAME_OR_PR_CHANGE="",IF(TITLE_NAME_OR_PR="","",TITLE_NAME_OR_PR),TITLE_NAME_OR_PR_CHANGE)</f>
        <v/>
      </c>
      <c r="AE31" s="2187"/>
      <c r="AF31" s="2187"/>
      <c r="AG31" s="2187"/>
      <c r="AH31" s="2187"/>
      <c r="AI31" s="2187"/>
      <c r="AJ31" s="2187"/>
      <c r="AK31" s="2187"/>
      <c r="AL31" s="2187"/>
      <c r="AM31" s="2187"/>
      <c r="AN31" s="2187"/>
      <c r="AO31" s="2187"/>
      <c r="AP31" s="2187"/>
      <c r="AQ31" s="2187"/>
      <c r="AR31" s="2187"/>
      <c r="AS31" s="2187"/>
      <c r="AT31" s="2187"/>
      <c r="AU31" s="2187"/>
      <c r="AV31" s="2187"/>
      <c r="AW31" s="2187"/>
      <c r="AX31" s="2187"/>
      <c r="AY31" s="2187"/>
      <c r="AZ31" s="2187"/>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5" t="s">
        <v>421</v>
      </c>
      <c r="T32" s="2185"/>
      <c r="U32" s="1300"/>
      <c r="V32" s="2186" t="str">
        <f>IF(TITLE_DATE_PR_CHANGE="",IF(TITLE_DATE_PR="","",TITLE_DATE_PR),TITLE_DATE_PR_CHANGE)</f>
        <v/>
      </c>
      <c r="W32" s="2186"/>
      <c r="X32" s="2186"/>
      <c r="Y32" s="2186"/>
      <c r="Z32" s="2186"/>
      <c r="AA32" s="2186"/>
      <c r="AB32" s="2186"/>
      <c r="AC32" s="264"/>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5" t="s">
        <v>422</v>
      </c>
      <c r="T33" s="2185"/>
      <c r="U33" s="1300"/>
      <c r="V33" s="2187" t="str">
        <f>IF(TITLE_NUMBER_PR_CHANGE="",IF(TITLE_NUMBER_PR="","",TITLE_NUMBER_PR),TITLE_NUMBER_PR_CHANGE)</f>
        <v/>
      </c>
      <c r="W33" s="2187"/>
      <c r="X33" s="2187"/>
      <c r="Y33" s="2187"/>
      <c r="Z33" s="2187"/>
      <c r="AA33" s="2187"/>
      <c r="AB33" s="2187"/>
      <c r="AC33" s="264"/>
      <c r="AD33" s="2187" t="str">
        <f>IF(TITLE_NUMBER_PR_CHANGE="",IF(TITLE_NUMBER_PR="","",TITLE_NUMBER_PR),TITLE_NUMBER_PR_CHANGE)</f>
        <v/>
      </c>
      <c r="AE33" s="2187"/>
      <c r="AF33" s="2187"/>
      <c r="AG33" s="2187"/>
      <c r="AH33" s="2187"/>
      <c r="AI33" s="2187"/>
      <c r="AJ33" s="2187"/>
      <c r="AK33" s="2187"/>
      <c r="AL33" s="2187"/>
      <c r="AM33" s="2187"/>
      <c r="AN33" s="2187"/>
      <c r="AO33" s="2187"/>
      <c r="AP33" s="2187"/>
      <c r="AQ33" s="2187"/>
      <c r="AR33" s="2187"/>
      <c r="AS33" s="2187"/>
      <c r="AT33" s="2187"/>
      <c r="AU33" s="2187"/>
      <c r="AV33" s="2187"/>
      <c r="AW33" s="2187"/>
      <c r="AX33" s="2187"/>
      <c r="AY33" s="2187"/>
      <c r="AZ33" s="2187"/>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85" t="s">
        <v>43</v>
      </c>
      <c r="T34" s="2185"/>
      <c r="U34" s="1300"/>
      <c r="V34" s="2187" t="str">
        <f>IF(TITLE_IST_PUB_CHANGE="",IF(TITLE_IST_PUB="","",TITLE_IST_PUB),TITLE_IST_PUB_CHANGE)</f>
        <v/>
      </c>
      <c r="W34" s="2187"/>
      <c r="X34" s="2187"/>
      <c r="Y34" s="2187"/>
      <c r="Z34" s="2187"/>
      <c r="AA34" s="2187"/>
      <c r="AB34" s="2187"/>
      <c r="AC34" s="264"/>
      <c r="AD34" s="2187" t="str">
        <f>IF(TITLE_IST_PUB_CHANGE="",IF(TITLE_IST_PUB="","",TITLE_IST_PUB),TITLE_IST_PUB_CHANGE)</f>
        <v/>
      </c>
      <c r="AE34" s="2187"/>
      <c r="AF34" s="2187"/>
      <c r="AG34" s="2187"/>
      <c r="AH34" s="2187"/>
      <c r="AI34" s="2187"/>
      <c r="AJ34" s="2187"/>
      <c r="AK34" s="2187"/>
      <c r="AL34" s="2187"/>
      <c r="AM34" s="2187"/>
      <c r="AN34" s="2187"/>
      <c r="AO34" s="2187"/>
      <c r="AP34" s="2187"/>
      <c r="AQ34" s="2187"/>
      <c r="AR34" s="2187"/>
      <c r="AS34" s="2187"/>
      <c r="AT34" s="2187"/>
      <c r="AU34" s="2187"/>
      <c r="AV34" s="2187"/>
      <c r="AW34" s="2187"/>
      <c r="AX34" s="2187"/>
      <c r="AY34" s="2187"/>
      <c r="AZ34" s="2187"/>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85" t="s">
        <v>421</v>
      </c>
      <c r="T36" s="2185"/>
      <c r="U36" s="1300"/>
      <c r="V36" s="2186" t="str">
        <f>IF(TITLE_DATE_PR_CHANGE="",IF(TITLE_DATE_PR="","",TITLE_DATE_PR),TITLE_DATE_PR_CHANGE)</f>
        <v/>
      </c>
      <c r="W36" s="2186"/>
      <c r="X36" s="2186"/>
      <c r="Y36" s="2186"/>
      <c r="Z36" s="2186"/>
      <c r="AA36" s="2186"/>
      <c r="AB36" s="2186"/>
      <c r="AC36" s="264"/>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85" t="s">
        <v>422</v>
      </c>
      <c r="T37" s="2185"/>
      <c r="U37" s="1300"/>
      <c r="V37" s="2187" t="str">
        <f>IF(TITLE_NUMBER_PR_CHANGE="",IF(TITLE_NUMBER_PR="","",TITLE_NUMBER_PR),TITLE_NUMBER_PR_CHANGE)</f>
        <v/>
      </c>
      <c r="W37" s="2187"/>
      <c r="X37" s="2187"/>
      <c r="Y37" s="2187"/>
      <c r="Z37" s="2187"/>
      <c r="AA37" s="2187"/>
      <c r="AB37" s="2187"/>
      <c r="AC37" s="264"/>
      <c r="AD37" s="2187" t="str">
        <f>IF(TITLE_NUMBER_PR_CHANGE="",IF(TITLE_NUMBER_PR="","",TITLE_NUMBER_PR),TITLE_NUMBER_PR_CHANGE)</f>
        <v/>
      </c>
      <c r="AE37" s="2187"/>
      <c r="AF37" s="2187"/>
      <c r="AG37" s="2187"/>
      <c r="AH37" s="2187"/>
      <c r="AI37" s="2187"/>
      <c r="AJ37" s="2187"/>
      <c r="AK37" s="2187"/>
      <c r="AL37" s="2187"/>
      <c r="AM37" s="2187"/>
      <c r="AN37" s="2187"/>
      <c r="AO37" s="2187"/>
      <c r="AP37" s="2187"/>
      <c r="AQ37" s="2187"/>
      <c r="AR37" s="2187"/>
      <c r="AS37" s="2187"/>
      <c r="AT37" s="2187"/>
      <c r="AU37" s="2187"/>
      <c r="AV37" s="2187"/>
      <c r="AW37" s="2187"/>
      <c r="AX37" s="2187"/>
      <c r="AY37" s="2187"/>
      <c r="AZ37" s="2187"/>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206"/>
      <c r="W39" s="2206"/>
      <c r="X39" s="2206"/>
      <c r="Y39" s="2206"/>
      <c r="Z39" s="2206"/>
      <c r="AA39" s="2206"/>
      <c r="AB39" s="2206"/>
      <c r="AC39" s="2206"/>
      <c r="AD39" s="2206"/>
      <c r="AE39" s="2206"/>
      <c r="AF39" s="2206"/>
      <c r="AG39" s="2206"/>
      <c r="AH39" s="2206"/>
      <c r="AI39" s="2206"/>
      <c r="AJ39" s="2206"/>
      <c r="AK39" s="2206"/>
      <c r="AL39" s="2206"/>
      <c r="AM39" s="2206"/>
      <c r="AN39" s="2206"/>
      <c r="AO39" s="2206"/>
      <c r="AP39" s="2206"/>
      <c r="AQ39" s="2206"/>
      <c r="AR39" s="2206"/>
      <c r="AS39" s="2206"/>
      <c r="AT39" s="2206"/>
      <c r="AU39" s="2206"/>
      <c r="AV39" s="2206"/>
      <c r="AW39" s="2206"/>
      <c r="AX39" s="2206"/>
      <c r="AY39" s="2206"/>
      <c r="AZ39" s="2206"/>
      <c r="BA39" s="2206"/>
      <c r="BI39" s="1083">
        <v>14</v>
      </c>
    </row>
    <row r="40" spans="1:61" ht="14.65" customHeight="1">
      <c r="Q40" s="229"/>
      <c r="R40" s="314"/>
      <c r="S40" s="2066" t="s">
        <v>298</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299</v>
      </c>
      <c r="BI40" s="1083">
        <v>14</v>
      </c>
    </row>
    <row r="41" spans="1:61" ht="14.65" customHeight="1">
      <c r="Q41" s="229"/>
      <c r="R41" s="314"/>
      <c r="S41" s="2207" t="s">
        <v>87</v>
      </c>
      <c r="T41" s="2155" t="s">
        <v>505</v>
      </c>
      <c r="U41" s="239"/>
      <c r="V41" s="2208" t="s">
        <v>427</v>
      </c>
      <c r="W41" s="2209"/>
      <c r="X41" s="2209"/>
      <c r="Y41" s="2209"/>
      <c r="Z41" s="2209"/>
      <c r="AA41" s="2209"/>
      <c r="AB41" s="2210"/>
      <c r="AC41" s="2211" t="s">
        <v>428</v>
      </c>
      <c r="AD41" s="2240" t="s">
        <v>506</v>
      </c>
      <c r="AE41" s="2224"/>
      <c r="AF41" s="2224"/>
      <c r="AG41" s="2241"/>
      <c r="AH41" s="2240" t="s">
        <v>507</v>
      </c>
      <c r="AI41" s="2224"/>
      <c r="AJ41" s="2224"/>
      <c r="AK41" s="2241"/>
      <c r="AL41" s="2240" t="s">
        <v>508</v>
      </c>
      <c r="AM41" s="2224"/>
      <c r="AN41" s="2224"/>
      <c r="AO41" s="2241"/>
      <c r="AP41" s="2240" t="s">
        <v>509</v>
      </c>
      <c r="AQ41" s="2224"/>
      <c r="AR41" s="2224"/>
      <c r="AS41" s="2241"/>
      <c r="AT41" s="2208" t="s">
        <v>427</v>
      </c>
      <c r="AU41" s="2209"/>
      <c r="AV41" s="2209"/>
      <c r="AW41" s="2209"/>
      <c r="AX41" s="2209"/>
      <c r="AY41" s="2209"/>
      <c r="AZ41" s="2210"/>
      <c r="BA41" s="2211" t="s">
        <v>428</v>
      </c>
      <c r="BB41" s="2214" t="s">
        <v>430</v>
      </c>
      <c r="BC41" s="2066"/>
      <c r="BI41" s="1083">
        <v>14</v>
      </c>
    </row>
    <row r="42" spans="1:61" ht="35.65" customHeight="1">
      <c r="Q42" s="229"/>
      <c r="R42" s="314"/>
      <c r="S42" s="2207"/>
      <c r="T42" s="2155"/>
      <c r="U42" s="962"/>
      <c r="V42" s="2126" t="s">
        <v>510</v>
      </c>
      <c r="W42" s="2127"/>
      <c r="X42" s="2126" t="s">
        <v>511</v>
      </c>
      <c r="Y42" s="2127"/>
      <c r="Z42" s="2126" t="s">
        <v>512</v>
      </c>
      <c r="AA42" s="2236"/>
      <c r="AB42" s="2127"/>
      <c r="AC42" s="2212"/>
      <c r="AD42" s="2242"/>
      <c r="AE42" s="2243"/>
      <c r="AF42" s="2243"/>
      <c r="AG42" s="2255"/>
      <c r="AH42" s="2242"/>
      <c r="AI42" s="2243"/>
      <c r="AJ42" s="2243"/>
      <c r="AK42" s="2255"/>
      <c r="AL42" s="2242"/>
      <c r="AM42" s="2243"/>
      <c r="AN42" s="2243"/>
      <c r="AO42" s="2255"/>
      <c r="AP42" s="2242"/>
      <c r="AQ42" s="2243"/>
      <c r="AR42" s="2243"/>
      <c r="AS42" s="2255"/>
      <c r="AT42" s="2126" t="s">
        <v>510</v>
      </c>
      <c r="AU42" s="2127"/>
      <c r="AV42" s="2126" t="s">
        <v>511</v>
      </c>
      <c r="AW42" s="2127"/>
      <c r="AX42" s="2126" t="s">
        <v>512</v>
      </c>
      <c r="AY42" s="2236"/>
      <c r="AZ42" s="2127"/>
      <c r="BA42" s="2212"/>
      <c r="BB42" s="2215"/>
      <c r="BC42" s="2066"/>
      <c r="BI42" s="1083">
        <v>34</v>
      </c>
    </row>
    <row r="43" spans="1:61" ht="14.65" customHeight="1">
      <c r="Q43" s="229"/>
      <c r="R43" s="314"/>
      <c r="S43" s="2207"/>
      <c r="T43" s="2155"/>
      <c r="U43" s="962"/>
      <c r="V43" s="2131"/>
      <c r="W43" s="2132"/>
      <c r="X43" s="2131"/>
      <c r="Y43" s="2132"/>
      <c r="Z43" s="2131"/>
      <c r="AA43" s="2237"/>
      <c r="AB43" s="2132"/>
      <c r="AC43" s="2212"/>
      <c r="AD43" s="2242"/>
      <c r="AE43" s="2243"/>
      <c r="AF43" s="2243"/>
      <c r="AG43" s="2255"/>
      <c r="AH43" s="2242"/>
      <c r="AI43" s="2243"/>
      <c r="AJ43" s="2243"/>
      <c r="AK43" s="2255"/>
      <c r="AL43" s="2242"/>
      <c r="AM43" s="2243"/>
      <c r="AN43" s="2243"/>
      <c r="AO43" s="2255"/>
      <c r="AP43" s="2242"/>
      <c r="AQ43" s="2243"/>
      <c r="AR43" s="2243"/>
      <c r="AS43" s="2255"/>
      <c r="AT43" s="2131"/>
      <c r="AU43" s="2132"/>
      <c r="AV43" s="2131"/>
      <c r="AW43" s="2132"/>
      <c r="AX43" s="2131"/>
      <c r="AY43" s="2237"/>
      <c r="AZ43" s="2132"/>
      <c r="BA43" s="2212"/>
      <c r="BB43" s="2215"/>
      <c r="BC43" s="2066"/>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207"/>
      <c r="T44" s="2155"/>
      <c r="U44" s="240"/>
      <c r="V44" s="1376" t="s">
        <v>476</v>
      </c>
      <c r="W44" s="1376" t="s">
        <v>477</v>
      </c>
      <c r="X44" s="1376" t="s">
        <v>476</v>
      </c>
      <c r="Y44" s="1376" t="s">
        <v>477</v>
      </c>
      <c r="Z44" s="1383" t="s">
        <v>444</v>
      </c>
      <c r="AA44" s="2160" t="s">
        <v>445</v>
      </c>
      <c r="AB44" s="2174"/>
      <c r="AC44" s="2213"/>
      <c r="AD44" s="2244"/>
      <c r="AE44" s="2245"/>
      <c r="AF44" s="2245"/>
      <c r="AG44" s="2246"/>
      <c r="AH44" s="2244"/>
      <c r="AI44" s="2245"/>
      <c r="AJ44" s="2245"/>
      <c r="AK44" s="2246"/>
      <c r="AL44" s="2244"/>
      <c r="AM44" s="2245"/>
      <c r="AN44" s="2245"/>
      <c r="AO44" s="2246"/>
      <c r="AP44" s="2244"/>
      <c r="AQ44" s="2245"/>
      <c r="AR44" s="2245"/>
      <c r="AS44" s="2246"/>
      <c r="AT44" s="1376" t="s">
        <v>476</v>
      </c>
      <c r="AU44" s="1376" t="s">
        <v>477</v>
      </c>
      <c r="AV44" s="1376" t="s">
        <v>476</v>
      </c>
      <c r="AW44" s="1376" t="s">
        <v>477</v>
      </c>
      <c r="AX44" s="1383" t="s">
        <v>444</v>
      </c>
      <c r="AY44" s="2160" t="s">
        <v>445</v>
      </c>
      <c r="AZ44" s="2174"/>
      <c r="BA44" s="2213"/>
      <c r="BB44" s="2216"/>
      <c r="BC44" s="2066"/>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379">
        <f t="shared" ref="V45:AA45" ca="1" si="2">OFFSET(V45,0,-1)+1</f>
        <v>3</v>
      </c>
      <c r="W45" s="1379">
        <f t="shared" ca="1" si="2"/>
        <v>4</v>
      </c>
      <c r="X45" s="1379">
        <f t="shared" ca="1" si="2"/>
        <v>5</v>
      </c>
      <c r="Y45" s="1379">
        <f t="shared" ca="1" si="2"/>
        <v>6</v>
      </c>
      <c r="Z45" s="1379">
        <f t="shared" ca="1" si="2"/>
        <v>7</v>
      </c>
      <c r="AA45" s="2205">
        <f t="shared" ca="1" si="2"/>
        <v>8</v>
      </c>
      <c r="AB45" s="2205"/>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205">
        <f ca="1">OFFSET(AY45,0,-1)+1</f>
        <v>3</v>
      </c>
      <c r="AZ45" s="2205"/>
      <c r="BA45" s="1379">
        <f ca="1">OFFSET(BA45,0,-2)+1</f>
        <v>4</v>
      </c>
      <c r="BB45" s="1173">
        <f ca="1">OFFSET(BB45,0,-1)</f>
        <v>4</v>
      </c>
      <c r="BC45" s="1379">
        <f ca="1">OFFSET(BC45,0,-1)+1</f>
        <v>5</v>
      </c>
      <c r="BD45" s="449"/>
      <c r="BE45" s="449"/>
      <c r="BF45" s="449"/>
      <c r="BG45" s="449"/>
      <c r="BH45" s="449"/>
      <c r="BI45" s="434">
        <v>0</v>
      </c>
    </row>
    <row r="46" spans="1:61" ht="21.95" customHeight="1">
      <c r="A46" s="1291" t="s">
        <v>244</v>
      </c>
      <c r="B46" s="1291"/>
      <c r="C46" s="1291"/>
      <c r="D46" s="1291"/>
      <c r="E46" s="2194">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123</v>
      </c>
      <c r="U46" s="238"/>
      <c r="V46" s="2189"/>
      <c r="W46" s="2189"/>
      <c r="X46" s="2189"/>
      <c r="Y46" s="2189"/>
      <c r="Z46" s="2189"/>
      <c r="AA46" s="2189"/>
      <c r="AB46" s="2189"/>
      <c r="AC46" s="2190"/>
      <c r="AD46" s="2188" t="str">
        <f>INDEX(PT_DIFFERENTIATION_NTAR,MATCH(A46,PT_DIFFERENTIATION_NTAR_ID,0))</f>
        <v/>
      </c>
      <c r="AE46" s="2189"/>
      <c r="AF46" s="2189"/>
      <c r="AG46" s="2189"/>
      <c r="AH46" s="2189"/>
      <c r="AI46" s="2189"/>
      <c r="AJ46" s="2189"/>
      <c r="AK46" s="2189"/>
      <c r="AL46" s="2189"/>
      <c r="AM46" s="2189"/>
      <c r="AN46" s="2189"/>
      <c r="AO46" s="2189"/>
      <c r="AP46" s="2189"/>
      <c r="AQ46" s="2189"/>
      <c r="AR46" s="2189"/>
      <c r="AS46" s="2189"/>
      <c r="AT46" s="2189"/>
      <c r="AU46" s="2189"/>
      <c r="AV46" s="2189"/>
      <c r="AW46" s="2189"/>
      <c r="AX46" s="2189"/>
      <c r="AY46" s="2189"/>
      <c r="AZ46" s="2189"/>
      <c r="BA46" s="2189"/>
      <c r="BB46" s="2190"/>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244</v>
      </c>
      <c r="B47" s="1291" t="s">
        <v>245</v>
      </c>
      <c r="C47" s="1291"/>
      <c r="D47" s="1291"/>
      <c r="E47" s="2195"/>
      <c r="F47" s="2194">
        <v>1</v>
      </c>
      <c r="G47" s="1291"/>
      <c r="H47" s="1291"/>
      <c r="I47" s="1291"/>
      <c r="J47" s="1291"/>
      <c r="K47" s="1291"/>
      <c r="L47" s="1292"/>
      <c r="M47" s="1293"/>
      <c r="N47" s="1293"/>
      <c r="O47" s="1293"/>
      <c r="P47" s="1338"/>
      <c r="Q47" s="1339"/>
      <c r="R47" s="291"/>
      <c r="S47" s="1385" t="str">
        <f>INDEX(PT_DIFFERENTIATION_NUM_TER,MATCH(B47,PT_DIFFERENTIATION_TER_ID,0))</f>
        <v>.</v>
      </c>
      <c r="T47" s="246" t="s">
        <v>395</v>
      </c>
      <c r="U47" s="238"/>
      <c r="V47" s="2189"/>
      <c r="W47" s="2189"/>
      <c r="X47" s="2189"/>
      <c r="Y47" s="2189"/>
      <c r="Z47" s="2189"/>
      <c r="AA47" s="2189"/>
      <c r="AB47" s="2189"/>
      <c r="AC47" s="2190"/>
      <c r="AD47" s="2188" t="str">
        <f>INDEX(PT_DIFFERENTIATION_TER,MATCH(B47,PT_DIFFERENTIATION_TER_ID,0))</f>
        <v/>
      </c>
      <c r="AE47" s="2189"/>
      <c r="AF47" s="2189"/>
      <c r="AG47" s="2189"/>
      <c r="AH47" s="2189"/>
      <c r="AI47" s="2189"/>
      <c r="AJ47" s="2189"/>
      <c r="AK47" s="2189"/>
      <c r="AL47" s="2189"/>
      <c r="AM47" s="2189"/>
      <c r="AN47" s="2189"/>
      <c r="AO47" s="2189"/>
      <c r="AP47" s="2189"/>
      <c r="AQ47" s="2189"/>
      <c r="AR47" s="2189"/>
      <c r="AS47" s="2189"/>
      <c r="AT47" s="2189"/>
      <c r="AU47" s="2189"/>
      <c r="AV47" s="2189"/>
      <c r="AW47" s="2189"/>
      <c r="AX47" s="2189"/>
      <c r="AY47" s="2189"/>
      <c r="AZ47" s="2189"/>
      <c r="BA47" s="2189"/>
      <c r="BB47" s="2190"/>
      <c r="BC47" s="1186" t="s">
        <v>396</v>
      </c>
      <c r="BE47" s="438"/>
      <c r="BF47" s="438" t="str">
        <f t="shared" si="3"/>
        <v>Территория действия тарифа</v>
      </c>
      <c r="BG47" s="438"/>
      <c r="BH47" s="438"/>
      <c r="BI47" s="1083">
        <v>21</v>
      </c>
    </row>
    <row r="48" spans="1:61" ht="43.15" customHeight="1">
      <c r="A48" s="1291" t="s">
        <v>244</v>
      </c>
      <c r="B48" s="1291" t="s">
        <v>245</v>
      </c>
      <c r="C48" s="1291" t="s">
        <v>246</v>
      </c>
      <c r="D48" s="1291"/>
      <c r="E48" s="2195"/>
      <c r="F48" s="2195"/>
      <c r="G48" s="2194">
        <v>1</v>
      </c>
      <c r="H48" s="1291"/>
      <c r="I48" s="1291"/>
      <c r="J48" s="1291"/>
      <c r="K48" s="1291"/>
      <c r="L48" s="1292"/>
      <c r="M48" s="1293"/>
      <c r="N48" s="1293"/>
      <c r="O48" s="1293"/>
      <c r="P48" s="1340"/>
      <c r="Q48" s="1339"/>
      <c r="R48" s="291"/>
      <c r="S48" s="1385" t="str">
        <f>INDEX(PT_DIFFERENTIATION_NUM_CS,MATCH(C48,PT_DIFFERENTIATION_CS_ID,0))</f>
        <v>..</v>
      </c>
      <c r="T48" s="247" t="s">
        <v>479</v>
      </c>
      <c r="U48" s="238"/>
      <c r="V48" s="2189"/>
      <c r="W48" s="2189"/>
      <c r="X48" s="2189"/>
      <c r="Y48" s="2189"/>
      <c r="Z48" s="2189"/>
      <c r="AA48" s="2189"/>
      <c r="AB48" s="2189"/>
      <c r="AC48" s="2190"/>
      <c r="AD48" s="2188" t="str">
        <f>INDEX(PT_DIFFERENTIATION_CS,MATCH(C48,PT_DIFFERENTIATION_CS_ID,0))</f>
        <v/>
      </c>
      <c r="AE48" s="2189"/>
      <c r="AF48" s="2189"/>
      <c r="AG48" s="2189"/>
      <c r="AH48" s="2189"/>
      <c r="AI48" s="2189"/>
      <c r="AJ48" s="2189"/>
      <c r="AK48" s="2189"/>
      <c r="AL48" s="2189"/>
      <c r="AM48" s="2189"/>
      <c r="AN48" s="2189"/>
      <c r="AO48" s="2189"/>
      <c r="AP48" s="2189"/>
      <c r="AQ48" s="2189"/>
      <c r="AR48" s="2189"/>
      <c r="AS48" s="2189"/>
      <c r="AT48" s="2189"/>
      <c r="AU48" s="2189"/>
      <c r="AV48" s="2189"/>
      <c r="AW48" s="2189"/>
      <c r="AX48" s="2189"/>
      <c r="AY48" s="2189"/>
      <c r="AZ48" s="2189"/>
      <c r="BA48" s="2189"/>
      <c r="BB48" s="2190"/>
      <c r="BC48" s="1186" t="s">
        <v>480</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244</v>
      </c>
      <c r="B49" s="1271" t="s">
        <v>245</v>
      </c>
      <c r="C49" s="1271" t="s">
        <v>246</v>
      </c>
      <c r="D49" s="1271" t="s">
        <v>513</v>
      </c>
      <c r="E49" s="2195"/>
      <c r="F49" s="2195"/>
      <c r="G49" s="2195"/>
      <c r="H49" s="2194">
        <v>1</v>
      </c>
      <c r="I49" s="1271"/>
      <c r="J49" s="1271"/>
      <c r="K49" s="1271"/>
      <c r="L49" s="1274"/>
      <c r="M49" s="1243"/>
      <c r="N49" s="1243"/>
      <c r="O49" s="1243"/>
      <c r="P49" s="1425"/>
      <c r="Q49" s="1426"/>
      <c r="R49" s="295"/>
      <c r="S49" s="973"/>
      <c r="T49" s="1427"/>
      <c r="U49" s="1312"/>
      <c r="V49" s="2226"/>
      <c r="W49" s="2226"/>
      <c r="X49" s="2226"/>
      <c r="Y49" s="2226"/>
      <c r="Z49" s="2226"/>
      <c r="AA49" s="2226"/>
      <c r="AB49" s="2226"/>
      <c r="AC49" s="2227"/>
      <c r="AD49" s="2225"/>
      <c r="AE49" s="2226"/>
      <c r="AF49" s="2226"/>
      <c r="AG49" s="2226"/>
      <c r="AH49" s="2226"/>
      <c r="AI49" s="2226"/>
      <c r="AJ49" s="2226"/>
      <c r="AK49" s="2226"/>
      <c r="AL49" s="2226"/>
      <c r="AM49" s="2226"/>
      <c r="AN49" s="2226"/>
      <c r="AO49" s="2226"/>
      <c r="AP49" s="2226"/>
      <c r="AQ49" s="2226"/>
      <c r="AR49" s="2226"/>
      <c r="AS49" s="2226"/>
      <c r="AT49" s="2226"/>
      <c r="AU49" s="2226"/>
      <c r="AV49" s="2226"/>
      <c r="AW49" s="2226"/>
      <c r="AX49" s="2226"/>
      <c r="AY49" s="2226"/>
      <c r="AZ49" s="2226"/>
      <c r="BA49" s="2226"/>
      <c r="BB49" s="2227"/>
      <c r="BC49" s="1313" t="s">
        <v>400</v>
      </c>
      <c r="BE49" s="438"/>
      <c r="BF49" s="438" t="str">
        <f t="shared" si="3"/>
        <v/>
      </c>
      <c r="BG49" s="438"/>
      <c r="BH49" s="438"/>
      <c r="BI49" s="449">
        <v>0</v>
      </c>
    </row>
    <row r="50" spans="1:61" s="1570" customFormat="1" ht="0" hidden="1" customHeight="1">
      <c r="A50" s="1271" t="s">
        <v>244</v>
      </c>
      <c r="B50" s="1271" t="s">
        <v>245</v>
      </c>
      <c r="C50" s="1271" t="s">
        <v>246</v>
      </c>
      <c r="D50" s="1271" t="s">
        <v>513</v>
      </c>
      <c r="E50" s="2195"/>
      <c r="F50" s="2195"/>
      <c r="G50" s="2195"/>
      <c r="H50" s="2195"/>
      <c r="I50" s="2196" t="str">
        <f>S49&amp;".1"</f>
        <v>.1</v>
      </c>
      <c r="J50" s="1271"/>
      <c r="K50" s="1271"/>
      <c r="L50" s="1274" t="s">
        <v>401</v>
      </c>
      <c r="M50" s="448"/>
      <c r="N50" s="448"/>
      <c r="O50" s="448"/>
      <c r="P50" s="2198">
        <v>1</v>
      </c>
      <c r="Q50" s="1390"/>
      <c r="R50" s="294"/>
      <c r="S50" s="973"/>
      <c r="T50" s="1311"/>
      <c r="U50" s="1312"/>
      <c r="V50" s="2226"/>
      <c r="W50" s="2226"/>
      <c r="X50" s="2226"/>
      <c r="Y50" s="2226"/>
      <c r="Z50" s="2226"/>
      <c r="AA50" s="2226"/>
      <c r="AB50" s="2226"/>
      <c r="AC50" s="2227"/>
      <c r="AD50" s="2225"/>
      <c r="AE50" s="2226"/>
      <c r="AF50" s="2226"/>
      <c r="AG50" s="2226"/>
      <c r="AH50" s="2226"/>
      <c r="AI50" s="2226"/>
      <c r="AJ50" s="2226"/>
      <c r="AK50" s="2226"/>
      <c r="AL50" s="2226"/>
      <c r="AM50" s="2226"/>
      <c r="AN50" s="2226"/>
      <c r="AO50" s="2226"/>
      <c r="AP50" s="2226"/>
      <c r="AQ50" s="2226"/>
      <c r="AR50" s="2226"/>
      <c r="AS50" s="2226"/>
      <c r="AT50" s="2226"/>
      <c r="AU50" s="2226"/>
      <c r="AV50" s="2226"/>
      <c r="AW50" s="2226"/>
      <c r="AX50" s="2226"/>
      <c r="AY50" s="2226"/>
      <c r="AZ50" s="2226"/>
      <c r="BA50" s="2226"/>
      <c r="BB50" s="2227"/>
      <c r="BC50" s="1313"/>
      <c r="BE50" s="438"/>
      <c r="BF50" s="438" t="str">
        <f t="shared" si="3"/>
        <v/>
      </c>
      <c r="BG50" s="438"/>
      <c r="BH50" s="438"/>
      <c r="BI50" s="449">
        <v>0</v>
      </c>
    </row>
    <row r="51" spans="1:61" s="1570" customFormat="1" ht="0" hidden="1" customHeight="1">
      <c r="A51" s="1271" t="s">
        <v>244</v>
      </c>
      <c r="B51" s="1271" t="s">
        <v>245</v>
      </c>
      <c r="C51" s="1271" t="s">
        <v>246</v>
      </c>
      <c r="D51" s="1271" t="s">
        <v>513</v>
      </c>
      <c r="E51" s="2195"/>
      <c r="F51" s="2195"/>
      <c r="G51" s="2195"/>
      <c r="H51" s="2195"/>
      <c r="I51" s="2197"/>
      <c r="J51" s="2196" t="str">
        <f>S49&amp;".1"</f>
        <v>.1</v>
      </c>
      <c r="K51" s="1271"/>
      <c r="L51" s="1274"/>
      <c r="M51" s="448"/>
      <c r="N51" s="448"/>
      <c r="O51" s="448"/>
      <c r="P51" s="2198"/>
      <c r="Q51" s="2198">
        <v>1</v>
      </c>
      <c r="R51" s="295"/>
      <c r="S51" s="973"/>
      <c r="T51" s="1327"/>
      <c r="U51" s="1312"/>
      <c r="V51" s="2226"/>
      <c r="W51" s="2226"/>
      <c r="X51" s="2226"/>
      <c r="Y51" s="2226"/>
      <c r="Z51" s="2226"/>
      <c r="AA51" s="2226"/>
      <c r="AB51" s="2226"/>
      <c r="AC51" s="2227"/>
      <c r="AD51" s="2225"/>
      <c r="AE51" s="2226"/>
      <c r="AF51" s="2226"/>
      <c r="AG51" s="2226"/>
      <c r="AH51" s="2226"/>
      <c r="AI51" s="2226"/>
      <c r="AJ51" s="2226"/>
      <c r="AK51" s="2226"/>
      <c r="AL51" s="2226"/>
      <c r="AM51" s="2226"/>
      <c r="AN51" s="2277"/>
      <c r="AO51" s="2277"/>
      <c r="AP51" s="2226"/>
      <c r="AQ51" s="2226"/>
      <c r="AR51" s="2226"/>
      <c r="AS51" s="2226"/>
      <c r="AT51" s="2226"/>
      <c r="AU51" s="2226"/>
      <c r="AV51" s="2226"/>
      <c r="AW51" s="2226"/>
      <c r="AX51" s="2226"/>
      <c r="AY51" s="2226"/>
      <c r="AZ51" s="2226"/>
      <c r="BA51" s="2226"/>
      <c r="BB51" s="2227"/>
      <c r="BC51" s="1313"/>
      <c r="BE51" s="438"/>
      <c r="BF51" s="438" t="str">
        <f t="shared" si="3"/>
        <v/>
      </c>
      <c r="BG51" s="438"/>
      <c r="BH51" s="438"/>
      <c r="BI51" s="449">
        <v>0</v>
      </c>
    </row>
    <row r="52" spans="1:61" ht="11.45" customHeight="1">
      <c r="A52" s="1291" t="s">
        <v>244</v>
      </c>
      <c r="B52" s="1291" t="s">
        <v>245</v>
      </c>
      <c r="C52" s="1291" t="s">
        <v>246</v>
      </c>
      <c r="D52" s="1291" t="s">
        <v>513</v>
      </c>
      <c r="E52" s="2195"/>
      <c r="F52" s="2195"/>
      <c r="G52" s="2195"/>
      <c r="H52" s="2195"/>
      <c r="I52" s="2197"/>
      <c r="J52" s="2197"/>
      <c r="K52" s="2196" t="str">
        <f>S48&amp;".1"</f>
        <v>...1</v>
      </c>
      <c r="L52" s="1292"/>
      <c r="P52" s="2198"/>
      <c r="Q52" s="2198"/>
      <c r="R52" s="295">
        <v>1</v>
      </c>
      <c r="S52" s="2251" t="str">
        <f>$K52</f>
        <v>...1</v>
      </c>
      <c r="T52" s="2271"/>
      <c r="U52" s="238"/>
      <c r="V52" s="689"/>
      <c r="W52" s="1185"/>
      <c r="X52" s="689"/>
      <c r="Y52" s="1185"/>
      <c r="Z52" s="1661"/>
      <c r="AA52" s="1387" t="s">
        <v>65</v>
      </c>
      <c r="AB52" s="1661"/>
      <c r="AC52" s="1387" t="s">
        <v>65</v>
      </c>
      <c r="AD52" s="2138" t="s">
        <v>65</v>
      </c>
      <c r="AE52" s="2247"/>
      <c r="AF52" s="2151">
        <v>1</v>
      </c>
      <c r="AG52" s="2270"/>
      <c r="AH52" s="2076" t="s">
        <v>65</v>
      </c>
      <c r="AI52" s="2247"/>
      <c r="AJ52" s="2151">
        <v>1</v>
      </c>
      <c r="AK52" s="2261" t="s">
        <v>22</v>
      </c>
      <c r="AL52" s="2076" t="s">
        <v>65</v>
      </c>
      <c r="AM52" s="2126"/>
      <c r="AN52" s="2151">
        <v>1</v>
      </c>
      <c r="AO52" s="2274"/>
      <c r="AP52" s="2275" t="s">
        <v>65</v>
      </c>
      <c r="AQ52" s="249"/>
      <c r="AR52" s="1391">
        <v>1</v>
      </c>
      <c r="AS52" s="1394" t="s">
        <v>22</v>
      </c>
      <c r="AT52" s="689"/>
      <c r="AU52" s="1185"/>
      <c r="AV52" s="689"/>
      <c r="AW52" s="1185"/>
      <c r="AX52" s="1661"/>
      <c r="AY52" s="1387" t="s">
        <v>65</v>
      </c>
      <c r="AZ52" s="1661"/>
      <c r="BA52" s="1387" t="s">
        <v>65</v>
      </c>
      <c r="BB52" s="1276"/>
      <c r="BC52" s="2217" t="s">
        <v>499</v>
      </c>
      <c r="BE52" s="438"/>
      <c r="BF52" s="438" t="str">
        <f t="shared" si="3"/>
        <v/>
      </c>
      <c r="BG52" s="438"/>
      <c r="BH52" s="438"/>
      <c r="BI52" s="1083">
        <v>11</v>
      </c>
    </row>
    <row r="53" spans="1:61" ht="11.45" customHeight="1">
      <c r="A53" s="1291"/>
      <c r="B53" s="1291"/>
      <c r="C53" s="1291"/>
      <c r="D53" s="1291"/>
      <c r="E53" s="2195"/>
      <c r="F53" s="2195"/>
      <c r="G53" s="2195"/>
      <c r="H53" s="2195"/>
      <c r="I53" s="2197"/>
      <c r="J53" s="2197"/>
      <c r="K53" s="2196"/>
      <c r="L53" s="1292"/>
      <c r="P53" s="2198"/>
      <c r="Q53" s="2198"/>
      <c r="R53" s="295"/>
      <c r="S53" s="2252"/>
      <c r="T53" s="2272"/>
      <c r="U53" s="238"/>
      <c r="V53" s="1321"/>
      <c r="W53" s="1424"/>
      <c r="X53" s="1321"/>
      <c r="Y53" s="1424"/>
      <c r="Z53" s="1321"/>
      <c r="AA53" s="1321"/>
      <c r="AB53" s="1321"/>
      <c r="AC53" s="1321"/>
      <c r="AD53" s="2139"/>
      <c r="AE53" s="2247"/>
      <c r="AF53" s="2151"/>
      <c r="AG53" s="2270"/>
      <c r="AH53" s="2076"/>
      <c r="AI53" s="2247"/>
      <c r="AJ53" s="2151"/>
      <c r="AK53" s="2261"/>
      <c r="AL53" s="2076"/>
      <c r="AM53" s="2131"/>
      <c r="AN53" s="2151"/>
      <c r="AO53" s="2274"/>
      <c r="AP53" s="2276"/>
      <c r="AQ53" s="254"/>
      <c r="AR53" s="354"/>
      <c r="AS53" s="354" t="s">
        <v>500</v>
      </c>
      <c r="AT53" s="1321"/>
      <c r="AU53" s="1424"/>
      <c r="AV53" s="1321"/>
      <c r="AW53" s="1424"/>
      <c r="AX53" s="1321"/>
      <c r="AY53" s="1321"/>
      <c r="AZ53" s="1321"/>
      <c r="BA53" s="1321"/>
      <c r="BB53" s="1325"/>
      <c r="BC53" s="2218"/>
      <c r="BE53" s="438"/>
      <c r="BF53" s="438"/>
      <c r="BG53" s="438"/>
      <c r="BH53" s="438"/>
      <c r="BI53" s="1083">
        <v>11</v>
      </c>
    </row>
    <row r="54" spans="1:61" ht="11.45" customHeight="1">
      <c r="A54" s="1291" t="s">
        <v>244</v>
      </c>
      <c r="B54" s="1291"/>
      <c r="C54" s="1291"/>
      <c r="D54" s="1291"/>
      <c r="E54" s="2195"/>
      <c r="F54" s="2195"/>
      <c r="G54" s="2195"/>
      <c r="H54" s="2195"/>
      <c r="I54" s="2197"/>
      <c r="J54" s="2197"/>
      <c r="K54" s="2196"/>
      <c r="L54" s="1292"/>
      <c r="P54" s="2198"/>
      <c r="Q54" s="2198"/>
      <c r="R54" s="295"/>
      <c r="S54" s="2252"/>
      <c r="T54" s="2272"/>
      <c r="U54" s="238"/>
      <c r="V54" s="1321"/>
      <c r="W54" s="1424"/>
      <c r="X54" s="1321"/>
      <c r="Y54" s="1424"/>
      <c r="Z54" s="1321"/>
      <c r="AA54" s="1321"/>
      <c r="AB54" s="1321"/>
      <c r="AC54" s="1321"/>
      <c r="AD54" s="2139"/>
      <c r="AE54" s="2247"/>
      <c r="AF54" s="2151"/>
      <c r="AG54" s="2270"/>
      <c r="AH54" s="2076"/>
      <c r="AI54" s="2247"/>
      <c r="AJ54" s="2151"/>
      <c r="AK54" s="2261"/>
      <c r="AL54" s="2076"/>
      <c r="AM54" s="254"/>
      <c r="AN54" s="1428"/>
      <c r="AO54" s="1428" t="s">
        <v>501</v>
      </c>
      <c r="AP54" s="354"/>
      <c r="AQ54" s="354"/>
      <c r="AR54" s="354"/>
      <c r="AS54" s="1321"/>
      <c r="AT54" s="1321"/>
      <c r="AU54" s="1424"/>
      <c r="AV54" s="1321"/>
      <c r="AW54" s="1424"/>
      <c r="AX54" s="1321"/>
      <c r="AY54" s="1321"/>
      <c r="AZ54" s="1321"/>
      <c r="BA54" s="1321"/>
      <c r="BB54" s="1325"/>
      <c r="BC54" s="2218"/>
      <c r="BE54" s="438"/>
      <c r="BF54" s="438"/>
      <c r="BG54" s="438"/>
      <c r="BH54" s="438"/>
      <c r="BI54" s="1083">
        <v>11</v>
      </c>
    </row>
    <row r="55" spans="1:61" ht="11.45" customHeight="1">
      <c r="A55" s="1291" t="s">
        <v>244</v>
      </c>
      <c r="B55" s="1291"/>
      <c r="C55" s="1291"/>
      <c r="D55" s="1291"/>
      <c r="E55" s="2195"/>
      <c r="F55" s="2195"/>
      <c r="G55" s="2195"/>
      <c r="H55" s="2195"/>
      <c r="I55" s="2197"/>
      <c r="J55" s="2197"/>
      <c r="K55" s="2196"/>
      <c r="L55" s="1292"/>
      <c r="P55" s="2198"/>
      <c r="Q55" s="2198"/>
      <c r="R55" s="295"/>
      <c r="S55" s="2252"/>
      <c r="T55" s="2272"/>
      <c r="U55" s="238"/>
      <c r="V55" s="1321"/>
      <c r="W55" s="1424"/>
      <c r="X55" s="1321"/>
      <c r="Y55" s="1424"/>
      <c r="Z55" s="1321"/>
      <c r="AA55" s="1321"/>
      <c r="AB55" s="1321"/>
      <c r="AC55" s="1321"/>
      <c r="AD55" s="2139"/>
      <c r="AE55" s="2247"/>
      <c r="AF55" s="2151"/>
      <c r="AG55" s="2270"/>
      <c r="AH55" s="2076"/>
      <c r="AI55" s="232"/>
      <c r="AJ55" s="353"/>
      <c r="AK55" s="251" t="s">
        <v>502</v>
      </c>
      <c r="AL55" s="1321"/>
      <c r="AM55" s="1321"/>
      <c r="AN55" s="1321"/>
      <c r="AO55" s="1321"/>
      <c r="AP55" s="1321"/>
      <c r="AQ55" s="1321"/>
      <c r="AR55" s="1321"/>
      <c r="AS55" s="1321"/>
      <c r="AT55" s="1321"/>
      <c r="AU55" s="1424"/>
      <c r="AV55" s="1321"/>
      <c r="AW55" s="1424"/>
      <c r="AX55" s="1321"/>
      <c r="AY55" s="1321"/>
      <c r="AZ55" s="1321"/>
      <c r="BA55" s="1321"/>
      <c r="BB55" s="1325"/>
      <c r="BC55" s="2218"/>
      <c r="BE55" s="438"/>
      <c r="BF55" s="438"/>
      <c r="BG55" s="438"/>
      <c r="BH55" s="438"/>
      <c r="BI55" s="1083">
        <v>11</v>
      </c>
    </row>
    <row r="56" spans="1:61" ht="11.45" customHeight="1">
      <c r="A56" s="1291" t="s">
        <v>244</v>
      </c>
      <c r="B56" s="1291" t="s">
        <v>245</v>
      </c>
      <c r="C56" s="1291" t="s">
        <v>246</v>
      </c>
      <c r="D56" s="1291" t="s">
        <v>513</v>
      </c>
      <c r="E56" s="2195"/>
      <c r="F56" s="2195"/>
      <c r="G56" s="2195"/>
      <c r="H56" s="2195"/>
      <c r="I56" s="2197"/>
      <c r="J56" s="2197"/>
      <c r="K56" s="2196"/>
      <c r="L56" s="1292"/>
      <c r="P56" s="2198"/>
      <c r="Q56" s="2198"/>
      <c r="R56" s="295"/>
      <c r="S56" s="2253"/>
      <c r="T56" s="2273"/>
      <c r="U56" s="238"/>
      <c r="V56" s="1321"/>
      <c r="W56" s="1322" t="str">
        <f>Z52&amp;"-"&amp;AB52</f>
        <v>-</v>
      </c>
      <c r="X56" s="1321"/>
      <c r="Y56" s="1322" t="str">
        <f>AB52&amp;"-"&amp;AD52</f>
        <v>-да</v>
      </c>
      <c r="Z56" s="1321"/>
      <c r="AA56" s="1321"/>
      <c r="AB56" s="1321"/>
      <c r="AC56" s="1321"/>
      <c r="AD56" s="2081"/>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8"/>
      <c r="BE56" s="438"/>
      <c r="BF56" s="438" t="str">
        <f t="shared" ref="BF56:BF63" si="4">IF(T56="","",T56)</f>
        <v/>
      </c>
      <c r="BG56" s="438"/>
      <c r="BH56" s="438"/>
      <c r="BI56" s="1083">
        <v>11</v>
      </c>
    </row>
    <row r="57" spans="1:61" ht="11.45" customHeight="1">
      <c r="A57" s="1291" t="s">
        <v>244</v>
      </c>
      <c r="B57" s="1291" t="s">
        <v>245</v>
      </c>
      <c r="C57" s="1291" t="s">
        <v>246</v>
      </c>
      <c r="D57" s="1291" t="s">
        <v>513</v>
      </c>
      <c r="E57" s="2195"/>
      <c r="F57" s="2195"/>
      <c r="G57" s="2195"/>
      <c r="H57" s="2195"/>
      <c r="I57" s="2197"/>
      <c r="J57" s="2196"/>
      <c r="K57" s="1291"/>
      <c r="L57" s="1292"/>
      <c r="P57" s="2198"/>
      <c r="Q57" s="2198"/>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19"/>
      <c r="BE57" s="438"/>
      <c r="BF57" s="438" t="str">
        <f t="shared" si="4"/>
        <v>Добавить строку</v>
      </c>
      <c r="BG57" s="438"/>
      <c r="BH57" s="438"/>
      <c r="BI57" s="1083">
        <v>11</v>
      </c>
    </row>
    <row r="58" spans="1:61" s="1570" customFormat="1" ht="0" hidden="1" customHeight="1">
      <c r="A58" s="1271" t="s">
        <v>244</v>
      </c>
      <c r="B58" s="1271" t="s">
        <v>245</v>
      </c>
      <c r="C58" s="1271" t="s">
        <v>246</v>
      </c>
      <c r="D58" s="1271" t="s">
        <v>513</v>
      </c>
      <c r="E58" s="2195"/>
      <c r="F58" s="2195"/>
      <c r="G58" s="2195"/>
      <c r="H58" s="2195"/>
      <c r="I58" s="2196"/>
      <c r="J58" s="1271"/>
      <c r="K58" s="1271"/>
      <c r="L58" s="1274"/>
      <c r="M58" s="448"/>
      <c r="N58" s="448"/>
      <c r="O58" s="448"/>
      <c r="P58" s="2198"/>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244</v>
      </c>
      <c r="B59" s="1271" t="s">
        <v>245</v>
      </c>
      <c r="C59" s="1271" t="s">
        <v>246</v>
      </c>
      <c r="D59" s="1271" t="s">
        <v>513</v>
      </c>
      <c r="E59" s="2195"/>
      <c r="F59" s="2195"/>
      <c r="G59" s="2195"/>
      <c r="H59" s="2194"/>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244</v>
      </c>
      <c r="B60" s="1271" t="s">
        <v>245</v>
      </c>
      <c r="C60" s="1271" t="s">
        <v>246</v>
      </c>
      <c r="D60" s="1242"/>
      <c r="E60" s="2195"/>
      <c r="F60" s="2195"/>
      <c r="G60" s="2194"/>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244</v>
      </c>
      <c r="B61" s="1271" t="s">
        <v>245</v>
      </c>
      <c r="C61" s="1242"/>
      <c r="D61" s="1242"/>
      <c r="E61" s="2195"/>
      <c r="F61" s="2194"/>
      <c r="G61" s="1242"/>
      <c r="H61" s="1242"/>
      <c r="I61" s="1242"/>
      <c r="J61" s="1242"/>
      <c r="K61" s="1242"/>
      <c r="L61" s="139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244</v>
      </c>
      <c r="B62" s="1271"/>
      <c r="C62" s="1271"/>
      <c r="D62" s="1271"/>
      <c r="E62" s="2194"/>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AV65" s="2193"/>
      <c r="AW65" s="2193"/>
      <c r="AX65" s="2193"/>
      <c r="AY65" s="2193"/>
      <c r="AZ65" s="2193"/>
      <c r="BA65" s="2193"/>
      <c r="BB65" s="2193"/>
      <c r="BC65" s="2193"/>
      <c r="BI65" s="1083">
        <v>19</v>
      </c>
    </row>
    <row r="66" spans="1:61" ht="14.65"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899999999999999" customHeight="1">
      <c r="O67" s="475"/>
      <c r="S67" s="1181"/>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AV67" s="2193"/>
      <c r="AW67" s="2193"/>
      <c r="AX67" s="2193"/>
      <c r="AY67" s="2193"/>
      <c r="AZ67" s="2193"/>
      <c r="BA67" s="2193"/>
      <c r="BB67" s="2193"/>
      <c r="BC67" s="2193"/>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421" t="e">
        <f>INDEX(PT_DIFFERENTIATION_NUM_CS,MATCH(C4,PT_DIFFERENTIATION_CS_ID,0))</f>
        <v>#N/A</v>
      </c>
      <c r="T4" s="247" t="s">
        <v>514</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515</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409"/>
      <c r="R5" s="294"/>
      <c r="S5" s="1421"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421"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421"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418"/>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409"/>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406"/>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411" t="s">
        <v>487</v>
      </c>
      <c r="W38" s="2048" t="s">
        <v>433</v>
      </c>
      <c r="X38" s="2047"/>
      <c r="Y38" s="2048" t="s">
        <v>434</v>
      </c>
      <c r="Z38" s="2053"/>
      <c r="AA38" s="2047"/>
      <c r="AB38" s="2212"/>
      <c r="AC38" s="1411" t="s">
        <v>487</v>
      </c>
      <c r="AD38" s="2048" t="s">
        <v>433</v>
      </c>
      <c r="AE38" s="2047"/>
      <c r="AF38" s="2048" t="s">
        <v>434</v>
      </c>
      <c r="AG38" s="2053"/>
      <c r="AH38" s="2047"/>
      <c r="AI38" s="2212"/>
      <c r="AJ38" s="2215"/>
      <c r="AK38" s="2066"/>
      <c r="AQ38" s="1083">
        <v>34</v>
      </c>
    </row>
    <row r="39" spans="1:43" ht="90.4"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411" t="s">
        <v>516</v>
      </c>
      <c r="W39" s="1150" t="s">
        <v>517</v>
      </c>
      <c r="X39" s="1150" t="s">
        <v>492</v>
      </c>
      <c r="Y39" s="1417" t="s">
        <v>444</v>
      </c>
      <c r="Z39" s="2160" t="s">
        <v>445</v>
      </c>
      <c r="AA39" s="2174"/>
      <c r="AB39" s="2213"/>
      <c r="AC39" s="1411" t="s">
        <v>516</v>
      </c>
      <c r="AD39" s="1150" t="s">
        <v>517</v>
      </c>
      <c r="AE39" s="1150" t="s">
        <v>492</v>
      </c>
      <c r="AF39" s="1417" t="s">
        <v>444</v>
      </c>
      <c r="AG39" s="2160" t="s">
        <v>445</v>
      </c>
      <c r="AH39" s="2174"/>
      <c r="AI39" s="2213"/>
      <c r="AJ39" s="2216"/>
      <c r="AK39" s="2066"/>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205">
        <f ca="1">OFFSET(Z40,0,-1)+1</f>
        <v>7</v>
      </c>
      <c r="AA40" s="2205"/>
      <c r="AB40" s="1410">
        <f ca="1">OFFSET(AB40,0,-2)+1</f>
        <v>8</v>
      </c>
      <c r="AC40" s="1410">
        <f ca="1">OFFSET(AC40,0,-1)+1</f>
        <v>9</v>
      </c>
      <c r="AD40" s="1410">
        <f ca="1">OFFSET(AD40,0,-1)+1</f>
        <v>10</v>
      </c>
      <c r="AE40" s="1410">
        <f ca="1">OFFSET(AE40,0,-1)+1</f>
        <v>11</v>
      </c>
      <c r="AF40" s="1410">
        <f ca="1">OFFSET(AF40,0,-1)+1</f>
        <v>12</v>
      </c>
      <c r="AG40" s="2205">
        <f ca="1">OFFSET(AG40,0,-1)+1</f>
        <v>13</v>
      </c>
      <c r="AH40" s="2205"/>
      <c r="AI40" s="1410">
        <f ca="1">OFFSET(AI40,0,-2)+1</f>
        <v>14</v>
      </c>
      <c r="AJ40" s="1173">
        <f ca="1">OFFSET(AJ40,0,-1)</f>
        <v>14</v>
      </c>
      <c r="AK40" s="1410">
        <f ca="1">OFFSET(AK40,0,-1)+1</f>
        <v>15</v>
      </c>
      <c r="AL40" s="449"/>
      <c r="AM40" s="449"/>
      <c r="AN40" s="449"/>
      <c r="AO40" s="449"/>
      <c r="AP40" s="449"/>
      <c r="AQ40" s="434">
        <v>0</v>
      </c>
    </row>
    <row r="41" spans="1:43" ht="24" customHeight="1">
      <c r="A41" s="1291" t="s">
        <v>264</v>
      </c>
      <c r="B41" s="1291"/>
      <c r="C41" s="1291"/>
      <c r="D41" s="1291"/>
      <c r="E41" s="2194">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264</v>
      </c>
      <c r="B42" s="1291" t="s">
        <v>265</v>
      </c>
      <c r="C42" s="1291"/>
      <c r="D42" s="1291"/>
      <c r="E42" s="2195"/>
      <c r="F42" s="2194">
        <v>1</v>
      </c>
      <c r="G42" s="1291"/>
      <c r="H42" s="1291"/>
      <c r="I42" s="1291"/>
      <c r="J42" s="1291"/>
      <c r="K42" s="1291"/>
      <c r="L42" s="1292"/>
      <c r="M42" s="1293"/>
      <c r="N42" s="1293"/>
      <c r="O42" s="1293"/>
      <c r="P42" s="1415"/>
      <c r="Q42" s="290"/>
      <c r="R42" s="291"/>
      <c r="S42" s="1421"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264</v>
      </c>
      <c r="B43" s="1291" t="s">
        <v>265</v>
      </c>
      <c r="C43" s="1291" t="s">
        <v>266</v>
      </c>
      <c r="D43" s="1291"/>
      <c r="E43" s="2195"/>
      <c r="F43" s="2195"/>
      <c r="G43" s="2194">
        <v>1</v>
      </c>
      <c r="H43" s="1291"/>
      <c r="I43" s="1291"/>
      <c r="J43" s="1291"/>
      <c r="K43" s="1291"/>
      <c r="L43" s="1292"/>
      <c r="M43" s="1293"/>
      <c r="N43" s="1293"/>
      <c r="O43" s="1293"/>
      <c r="P43" s="292"/>
      <c r="Q43" s="290"/>
      <c r="R43" s="291"/>
      <c r="S43" s="1421" t="str">
        <f>INDEX(PT_DIFFERENTIATION_NUM_CS,MATCH(C43,PT_DIFFERENTIATION_CS_ID,0))</f>
        <v>..</v>
      </c>
      <c r="T43" s="247" t="s">
        <v>514</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515</v>
      </c>
      <c r="AM43" s="438"/>
      <c r="AN43" s="438" t="str">
        <f t="shared" si="1"/>
        <v>Наименование централизованной системы водоотведения</v>
      </c>
      <c r="AO43" s="438"/>
      <c r="AP43" s="438"/>
      <c r="AQ43" s="1083">
        <v>23</v>
      </c>
    </row>
    <row r="44" spans="1:43" ht="24" customHeight="1">
      <c r="A44" s="1291" t="s">
        <v>264</v>
      </c>
      <c r="B44" s="1291" t="s">
        <v>265</v>
      </c>
      <c r="C44" s="1291" t="s">
        <v>266</v>
      </c>
      <c r="D44" s="1291" t="s">
        <v>518</v>
      </c>
      <c r="E44" s="2195"/>
      <c r="F44" s="2195"/>
      <c r="G44" s="2195"/>
      <c r="H44" s="2195"/>
      <c r="I44" s="2196" t="str">
        <f>S43&amp;".1"</f>
        <v>...1</v>
      </c>
      <c r="J44" s="1291"/>
      <c r="K44" s="1291"/>
      <c r="L44" s="1292"/>
      <c r="P44" s="2198">
        <v>1</v>
      </c>
      <c r="Q44" s="1409"/>
      <c r="R44" s="294"/>
      <c r="S44" s="1421"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264</v>
      </c>
      <c r="B45" s="1291" t="s">
        <v>265</v>
      </c>
      <c r="C45" s="1291" t="s">
        <v>266</v>
      </c>
      <c r="D45" s="1291" t="s">
        <v>518</v>
      </c>
      <c r="E45" s="2195"/>
      <c r="F45" s="2195"/>
      <c r="G45" s="2195"/>
      <c r="H45" s="2195"/>
      <c r="I45" s="2197"/>
      <c r="J45" s="2196" t="str">
        <f>I44&amp;".1"</f>
        <v>...1.1</v>
      </c>
      <c r="K45" s="1291"/>
      <c r="L45" s="1292" t="s">
        <v>404</v>
      </c>
      <c r="P45" s="2198"/>
      <c r="Q45" s="2198">
        <v>1</v>
      </c>
      <c r="R45" s="295"/>
      <c r="S45" s="1421"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264</v>
      </c>
      <c r="B46" s="1291" t="s">
        <v>265</v>
      </c>
      <c r="C46" s="1291" t="s">
        <v>266</v>
      </c>
      <c r="D46" s="1291" t="s">
        <v>518</v>
      </c>
      <c r="E46" s="2195"/>
      <c r="F46" s="2195"/>
      <c r="G46" s="2195"/>
      <c r="H46" s="2195"/>
      <c r="I46" s="2197"/>
      <c r="J46" s="2197"/>
      <c r="K46" s="2196" t="str">
        <f>J45&amp;".1"</f>
        <v>...1.1.1</v>
      </c>
      <c r="L46" s="1292"/>
      <c r="P46" s="2198"/>
      <c r="Q46" s="2198"/>
      <c r="R46" s="295">
        <v>1</v>
      </c>
      <c r="S46" s="1421" t="str">
        <f>$K46</f>
        <v>...1.1.1</v>
      </c>
      <c r="T46" s="1365"/>
      <c r="U46" s="238"/>
      <c r="V46" s="1288"/>
      <c r="W46" s="1288"/>
      <c r="X46" s="1289"/>
      <c r="Y46" s="2192"/>
      <c r="Z46" s="2191" t="s">
        <v>65</v>
      </c>
      <c r="AA46" s="2192"/>
      <c r="AB46" s="2191" t="s">
        <v>65</v>
      </c>
      <c r="AC46" s="689"/>
      <c r="AD46" s="689"/>
      <c r="AE46" s="1185"/>
      <c r="AF46" s="2199"/>
      <c r="AG46" s="2076" t="s">
        <v>65</v>
      </c>
      <c r="AH46" s="2201"/>
      <c r="AI46" s="2076" t="s">
        <v>19</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264</v>
      </c>
      <c r="B47" s="1291" t="s">
        <v>265</v>
      </c>
      <c r="C47" s="1291" t="s">
        <v>266</v>
      </c>
      <c r="D47" s="1291" t="s">
        <v>518</v>
      </c>
      <c r="E47" s="2195"/>
      <c r="F47" s="2195"/>
      <c r="G47" s="2195"/>
      <c r="H47" s="2195"/>
      <c r="I47" s="2197"/>
      <c r="J47" s="2197"/>
      <c r="K47" s="2196"/>
      <c r="L47" s="1292"/>
      <c r="P47" s="2198"/>
      <c r="Q47" s="2198"/>
      <c r="R47" s="295"/>
      <c r="S47" s="1418"/>
      <c r="T47" s="238"/>
      <c r="U47" s="238"/>
      <c r="V47" s="1288"/>
      <c r="W47" s="1288"/>
      <c r="X47" s="266" t="str">
        <f>Y46&amp;"-"&amp;AA46</f>
        <v>-</v>
      </c>
      <c r="Y47" s="2191"/>
      <c r="Z47" s="2191"/>
      <c r="AA47" s="2191"/>
      <c r="AB47" s="2191"/>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264</v>
      </c>
      <c r="B48" s="1291" t="s">
        <v>265</v>
      </c>
      <c r="C48" s="1291" t="s">
        <v>266</v>
      </c>
      <c r="D48" s="1291" t="s">
        <v>518</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264</v>
      </c>
      <c r="B49" s="1291" t="s">
        <v>265</v>
      </c>
      <c r="C49" s="1291" t="s">
        <v>266</v>
      </c>
      <c r="D49" s="1291" t="s">
        <v>518</v>
      </c>
      <c r="E49" s="2195"/>
      <c r="F49" s="2195"/>
      <c r="G49" s="2195"/>
      <c r="H49" s="2195"/>
      <c r="I49" s="2196"/>
      <c r="J49" s="1291"/>
      <c r="K49" s="1291"/>
      <c r="L49" s="1292"/>
      <c r="P49" s="2198"/>
      <c r="Q49" s="1409"/>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264</v>
      </c>
      <c r="B50" s="1291" t="s">
        <v>265</v>
      </c>
      <c r="C50" s="1291" t="s">
        <v>266</v>
      </c>
      <c r="D50" s="1291" t="s">
        <v>518</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264</v>
      </c>
      <c r="B51" s="1271" t="s">
        <v>265</v>
      </c>
      <c r="C51" s="1242"/>
      <c r="D51" s="1242"/>
      <c r="E51" s="2195"/>
      <c r="F51" s="2194"/>
      <c r="G51" s="1242"/>
      <c r="H51" s="1242"/>
      <c r="I51" s="1242"/>
      <c r="J51" s="1242"/>
      <c r="K51" s="1242"/>
      <c r="L51" s="1422"/>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264</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421" t="e">
        <f>INDEX(PT_DIFFERENTIATION_NUM_CS,MATCH(C4,PT_DIFFERENTIATION_CS_ID,0))</f>
        <v>#N/A</v>
      </c>
      <c r="T4" s="247" t="s">
        <v>514</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515</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409"/>
      <c r="R5" s="294"/>
      <c r="S5" s="1421"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421"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421"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418"/>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409"/>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406"/>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411" t="s">
        <v>487</v>
      </c>
      <c r="W38" s="2048" t="s">
        <v>433</v>
      </c>
      <c r="X38" s="2047"/>
      <c r="Y38" s="2048" t="s">
        <v>434</v>
      </c>
      <c r="Z38" s="2053"/>
      <c r="AA38" s="2047"/>
      <c r="AB38" s="2212"/>
      <c r="AC38" s="1411" t="s">
        <v>487</v>
      </c>
      <c r="AD38" s="2048" t="s">
        <v>433</v>
      </c>
      <c r="AE38" s="2047"/>
      <c r="AF38" s="2048" t="s">
        <v>434</v>
      </c>
      <c r="AG38" s="2053"/>
      <c r="AH38" s="2047"/>
      <c r="AI38" s="2212"/>
      <c r="AJ38" s="2215"/>
      <c r="AK38" s="2066"/>
      <c r="AQ38" s="1083">
        <v>34</v>
      </c>
    </row>
    <row r="39" spans="1:43" ht="90.4"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411" t="s">
        <v>516</v>
      </c>
      <c r="W39" s="1150" t="s">
        <v>517</v>
      </c>
      <c r="X39" s="1150" t="s">
        <v>492</v>
      </c>
      <c r="Y39" s="1417" t="s">
        <v>444</v>
      </c>
      <c r="Z39" s="2160" t="s">
        <v>445</v>
      </c>
      <c r="AA39" s="2174"/>
      <c r="AB39" s="2213"/>
      <c r="AC39" s="1411" t="s">
        <v>516</v>
      </c>
      <c r="AD39" s="1150" t="s">
        <v>517</v>
      </c>
      <c r="AE39" s="1150" t="s">
        <v>492</v>
      </c>
      <c r="AF39" s="1417" t="s">
        <v>444</v>
      </c>
      <c r="AG39" s="2160" t="s">
        <v>445</v>
      </c>
      <c r="AH39" s="2174"/>
      <c r="AI39" s="2213"/>
      <c r="AJ39" s="2216"/>
      <c r="AK39" s="2066"/>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205">
        <f ca="1">OFFSET(Z40,0,-1)+1</f>
        <v>7</v>
      </c>
      <c r="AA40" s="2205"/>
      <c r="AB40" s="1410">
        <f ca="1">OFFSET(AB40,0,-2)+1</f>
        <v>8</v>
      </c>
      <c r="AC40" s="1410">
        <f ca="1">OFFSET(AC40,0,-1)+1</f>
        <v>9</v>
      </c>
      <c r="AD40" s="1410">
        <f ca="1">OFFSET(AD40,0,-1)+1</f>
        <v>10</v>
      </c>
      <c r="AE40" s="1410">
        <f ca="1">OFFSET(AE40,0,-1)+1</f>
        <v>11</v>
      </c>
      <c r="AF40" s="1410">
        <f ca="1">OFFSET(AF40,0,-1)+1</f>
        <v>12</v>
      </c>
      <c r="AG40" s="2205">
        <f ca="1">OFFSET(AG40,0,-1)+1</f>
        <v>13</v>
      </c>
      <c r="AH40" s="2205"/>
      <c r="AI40" s="1410">
        <f ca="1">OFFSET(AI40,0,-2)+1</f>
        <v>14</v>
      </c>
      <c r="AJ40" s="1173">
        <f ca="1">OFFSET(AJ40,0,-1)</f>
        <v>14</v>
      </c>
      <c r="AK40" s="1410">
        <f ca="1">OFFSET(AK40,0,-1)+1</f>
        <v>15</v>
      </c>
      <c r="AL40" s="449"/>
      <c r="AM40" s="449"/>
      <c r="AN40" s="449"/>
      <c r="AO40" s="449"/>
      <c r="AP40" s="449"/>
      <c r="AQ40" s="434">
        <v>0</v>
      </c>
    </row>
    <row r="41" spans="1:43" ht="24" customHeight="1">
      <c r="A41" s="1291" t="s">
        <v>269</v>
      </c>
      <c r="B41" s="1291"/>
      <c r="C41" s="1291"/>
      <c r="D41" s="1291"/>
      <c r="E41" s="2194">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269</v>
      </c>
      <c r="B42" s="1291" t="s">
        <v>270</v>
      </c>
      <c r="C42" s="1291"/>
      <c r="D42" s="1291"/>
      <c r="E42" s="2195"/>
      <c r="F42" s="2194">
        <v>1</v>
      </c>
      <c r="G42" s="1291"/>
      <c r="H42" s="1291"/>
      <c r="I42" s="1291"/>
      <c r="J42" s="1291"/>
      <c r="K42" s="1291"/>
      <c r="L42" s="1292"/>
      <c r="M42" s="1293"/>
      <c r="N42" s="1293"/>
      <c r="O42" s="1293"/>
      <c r="P42" s="1415"/>
      <c r="Q42" s="290"/>
      <c r="R42" s="291"/>
      <c r="S42" s="1421"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269</v>
      </c>
      <c r="B43" s="1291" t="s">
        <v>270</v>
      </c>
      <c r="C43" s="1291" t="s">
        <v>271</v>
      </c>
      <c r="D43" s="1291"/>
      <c r="E43" s="2195"/>
      <c r="F43" s="2195"/>
      <c r="G43" s="2194">
        <v>1</v>
      </c>
      <c r="H43" s="1291"/>
      <c r="I43" s="1291"/>
      <c r="J43" s="1291"/>
      <c r="K43" s="1291"/>
      <c r="L43" s="1292"/>
      <c r="M43" s="1293"/>
      <c r="N43" s="1293"/>
      <c r="O43" s="1293"/>
      <c r="P43" s="292"/>
      <c r="Q43" s="290"/>
      <c r="R43" s="291"/>
      <c r="S43" s="1421" t="str">
        <f>INDEX(PT_DIFFERENTIATION_NUM_CS,MATCH(C43,PT_DIFFERENTIATION_CS_ID,0))</f>
        <v>..</v>
      </c>
      <c r="T43" s="247" t="s">
        <v>514</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515</v>
      </c>
      <c r="AM43" s="438"/>
      <c r="AN43" s="438" t="str">
        <f t="shared" si="1"/>
        <v>Наименование централизованной системы водоотведения</v>
      </c>
      <c r="AO43" s="438"/>
      <c r="AP43" s="438"/>
      <c r="AQ43" s="1083">
        <v>23</v>
      </c>
    </row>
    <row r="44" spans="1:43" ht="24" customHeight="1">
      <c r="A44" s="1291" t="s">
        <v>269</v>
      </c>
      <c r="B44" s="1291" t="s">
        <v>270</v>
      </c>
      <c r="C44" s="1291" t="s">
        <v>271</v>
      </c>
      <c r="D44" s="1291" t="s">
        <v>519</v>
      </c>
      <c r="E44" s="2195"/>
      <c r="F44" s="2195"/>
      <c r="G44" s="2195"/>
      <c r="H44" s="2195"/>
      <c r="I44" s="2196" t="str">
        <f>S43&amp;".1"</f>
        <v>...1</v>
      </c>
      <c r="J44" s="1291"/>
      <c r="K44" s="1291"/>
      <c r="L44" s="1292"/>
      <c r="P44" s="2198">
        <v>1</v>
      </c>
      <c r="Q44" s="1409"/>
      <c r="R44" s="294"/>
      <c r="S44" s="1421"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269</v>
      </c>
      <c r="B45" s="1291" t="s">
        <v>270</v>
      </c>
      <c r="C45" s="1291" t="s">
        <v>271</v>
      </c>
      <c r="D45" s="1291" t="s">
        <v>519</v>
      </c>
      <c r="E45" s="2195"/>
      <c r="F45" s="2195"/>
      <c r="G45" s="2195"/>
      <c r="H45" s="2195"/>
      <c r="I45" s="2197"/>
      <c r="J45" s="2196" t="str">
        <f>I44&amp;".1"</f>
        <v>...1.1</v>
      </c>
      <c r="K45" s="1291"/>
      <c r="L45" s="1292" t="s">
        <v>404</v>
      </c>
      <c r="P45" s="2198"/>
      <c r="Q45" s="2198">
        <v>1</v>
      </c>
      <c r="R45" s="295"/>
      <c r="S45" s="1421"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269</v>
      </c>
      <c r="B46" s="1291" t="s">
        <v>270</v>
      </c>
      <c r="C46" s="1291" t="s">
        <v>271</v>
      </c>
      <c r="D46" s="1291" t="s">
        <v>519</v>
      </c>
      <c r="E46" s="2195"/>
      <c r="F46" s="2195"/>
      <c r="G46" s="2195"/>
      <c r="H46" s="2195"/>
      <c r="I46" s="2197"/>
      <c r="J46" s="2197"/>
      <c r="K46" s="2196" t="str">
        <f>J45&amp;".1"</f>
        <v>...1.1.1</v>
      </c>
      <c r="L46" s="1292"/>
      <c r="P46" s="2198"/>
      <c r="Q46" s="2198"/>
      <c r="R46" s="295">
        <v>1</v>
      </c>
      <c r="S46" s="1421" t="str">
        <f>$K46</f>
        <v>...1.1.1</v>
      </c>
      <c r="T46" s="1365"/>
      <c r="U46" s="238"/>
      <c r="V46" s="1288"/>
      <c r="W46" s="1288"/>
      <c r="X46" s="1289"/>
      <c r="Y46" s="2192"/>
      <c r="Z46" s="2191" t="s">
        <v>65</v>
      </c>
      <c r="AA46" s="2192"/>
      <c r="AB46" s="2191" t="s">
        <v>65</v>
      </c>
      <c r="AC46" s="689"/>
      <c r="AD46" s="689"/>
      <c r="AE46" s="1185"/>
      <c r="AF46" s="2199"/>
      <c r="AG46" s="2076" t="s">
        <v>65</v>
      </c>
      <c r="AH46" s="2201"/>
      <c r="AI46" s="2076" t="s">
        <v>19</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269</v>
      </c>
      <c r="B47" s="1291" t="s">
        <v>270</v>
      </c>
      <c r="C47" s="1291" t="s">
        <v>271</v>
      </c>
      <c r="D47" s="1291" t="s">
        <v>519</v>
      </c>
      <c r="E47" s="2195"/>
      <c r="F47" s="2195"/>
      <c r="G47" s="2195"/>
      <c r="H47" s="2195"/>
      <c r="I47" s="2197"/>
      <c r="J47" s="2197"/>
      <c r="K47" s="2196"/>
      <c r="L47" s="1292"/>
      <c r="P47" s="2198"/>
      <c r="Q47" s="2198"/>
      <c r="R47" s="295"/>
      <c r="S47" s="1418"/>
      <c r="T47" s="238"/>
      <c r="U47" s="238"/>
      <c r="V47" s="1288"/>
      <c r="W47" s="1288"/>
      <c r="X47" s="266" t="str">
        <f>Y46&amp;"-"&amp;AA46</f>
        <v>-</v>
      </c>
      <c r="Y47" s="2191"/>
      <c r="Z47" s="2191"/>
      <c r="AA47" s="2191"/>
      <c r="AB47" s="2191"/>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269</v>
      </c>
      <c r="B48" s="1291" t="s">
        <v>270</v>
      </c>
      <c r="C48" s="1291" t="s">
        <v>271</v>
      </c>
      <c r="D48" s="1291" t="s">
        <v>519</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269</v>
      </c>
      <c r="B49" s="1291" t="s">
        <v>270</v>
      </c>
      <c r="C49" s="1291" t="s">
        <v>271</v>
      </c>
      <c r="D49" s="1291" t="s">
        <v>519</v>
      </c>
      <c r="E49" s="2195"/>
      <c r="F49" s="2195"/>
      <c r="G49" s="2195"/>
      <c r="H49" s="2195"/>
      <c r="I49" s="2196"/>
      <c r="J49" s="1291"/>
      <c r="K49" s="1291"/>
      <c r="L49" s="1292"/>
      <c r="P49" s="2198"/>
      <c r="Q49" s="1409"/>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269</v>
      </c>
      <c r="B50" s="1291" t="s">
        <v>270</v>
      </c>
      <c r="C50" s="1291" t="s">
        <v>271</v>
      </c>
      <c r="D50" s="1291" t="s">
        <v>519</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269</v>
      </c>
      <c r="B51" s="1271" t="s">
        <v>270</v>
      </c>
      <c r="C51" s="1242"/>
      <c r="D51" s="1242"/>
      <c r="E51" s="2195"/>
      <c r="F51" s="2194"/>
      <c r="G51" s="1242"/>
      <c r="H51" s="1242"/>
      <c r="I51" s="1242"/>
      <c r="J51" s="1242"/>
      <c r="K51" s="1242"/>
      <c r="L51" s="1422"/>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269</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94">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189"/>
      <c r="W2" s="2189"/>
      <c r="X2" s="2189"/>
      <c r="Y2" s="2189"/>
      <c r="Z2" s="2189"/>
      <c r="AA2" s="2189"/>
      <c r="AB2" s="2189"/>
      <c r="AC2" s="2190"/>
      <c r="AD2" s="2188" t="e">
        <f>INDEX(PT_DIFFERENTIATION_NTAR,MATCH(A2,PT_DIFFERENTIATION_NTAR_ID,0))</f>
        <v>#N/A</v>
      </c>
      <c r="AE2" s="2189"/>
      <c r="AF2" s="2189"/>
      <c r="AG2" s="2189"/>
      <c r="AH2" s="2189"/>
      <c r="AI2" s="2189"/>
      <c r="AJ2" s="2189"/>
      <c r="AK2" s="2189"/>
      <c r="AL2" s="2189"/>
      <c r="AM2" s="2189"/>
      <c r="AN2" s="2189"/>
      <c r="AO2" s="2189"/>
      <c r="AP2" s="2189"/>
      <c r="AQ2" s="2189"/>
      <c r="AR2" s="2189"/>
      <c r="AS2" s="2189"/>
      <c r="AT2" s="2189"/>
      <c r="AU2" s="2189"/>
      <c r="AV2" s="2189"/>
      <c r="AW2" s="2189"/>
      <c r="AX2" s="2189"/>
      <c r="AY2" s="2189"/>
      <c r="AZ2" s="2189"/>
      <c r="BA2" s="2189"/>
      <c r="BB2" s="2190"/>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95"/>
      <c r="F3" s="2194">
        <v>1</v>
      </c>
      <c r="G3" s="1291"/>
      <c r="H3" s="1291"/>
      <c r="I3" s="1291"/>
      <c r="J3" s="1291"/>
      <c r="K3" s="1291"/>
      <c r="L3" s="1292"/>
      <c r="M3" s="1293"/>
      <c r="N3" s="1293"/>
      <c r="O3" s="1293"/>
      <c r="P3" s="1338"/>
      <c r="Q3" s="1339"/>
      <c r="R3" s="291"/>
      <c r="S3" s="1421" t="e">
        <f>INDEX(PT_DIFFERENTIATION_NUM_TER,MATCH(B3,PT_DIFFERENTIATION_TER_ID,0))</f>
        <v>#N/A</v>
      </c>
      <c r="T3" s="246" t="s">
        <v>395</v>
      </c>
      <c r="U3" s="238"/>
      <c r="V3" s="2189"/>
      <c r="W3" s="2189"/>
      <c r="X3" s="2189"/>
      <c r="Y3" s="2189"/>
      <c r="Z3" s="2189"/>
      <c r="AA3" s="2189"/>
      <c r="AB3" s="2189"/>
      <c r="AC3" s="2190"/>
      <c r="AD3" s="2188" t="e">
        <f>INDEX(PT_DIFFERENTIATION_TER,MATCH(B3,PT_DIFFERENTIATION_TER_ID,0))</f>
        <v>#N/A</v>
      </c>
      <c r="AE3" s="2189"/>
      <c r="AF3" s="2189"/>
      <c r="AG3" s="2189"/>
      <c r="AH3" s="2189"/>
      <c r="AI3" s="2189"/>
      <c r="AJ3" s="2189"/>
      <c r="AK3" s="2189"/>
      <c r="AL3" s="2189"/>
      <c r="AM3" s="2189"/>
      <c r="AN3" s="2189"/>
      <c r="AO3" s="2189"/>
      <c r="AP3" s="2189"/>
      <c r="AQ3" s="2189"/>
      <c r="AR3" s="2189"/>
      <c r="AS3" s="2189"/>
      <c r="AT3" s="2189"/>
      <c r="AU3" s="2189"/>
      <c r="AV3" s="2189"/>
      <c r="AW3" s="2189"/>
      <c r="AX3" s="2189"/>
      <c r="AY3" s="2189"/>
      <c r="AZ3" s="2189"/>
      <c r="BA3" s="2189"/>
      <c r="BB3" s="2190"/>
      <c r="BC3" s="1186" t="s">
        <v>396</v>
      </c>
      <c r="BE3" s="438"/>
      <c r="BF3" s="438" t="str">
        <f t="shared" si="0"/>
        <v>Территория действия тарифа</v>
      </c>
      <c r="BG3" s="438"/>
      <c r="BH3" s="438"/>
      <c r="BI3" s="1083">
        <v>0</v>
      </c>
    </row>
    <row r="4" spans="1:61" ht="33.75" hidden="1" customHeight="1">
      <c r="A4" s="1291"/>
      <c r="B4" s="1291"/>
      <c r="C4" s="1291"/>
      <c r="D4" s="1291"/>
      <c r="E4" s="2195"/>
      <c r="F4" s="2195"/>
      <c r="G4" s="2194">
        <v>1</v>
      </c>
      <c r="H4" s="1291"/>
      <c r="I4" s="1291"/>
      <c r="J4" s="1291"/>
      <c r="K4" s="1291"/>
      <c r="L4" s="1292"/>
      <c r="M4" s="1293"/>
      <c r="N4" s="1293"/>
      <c r="O4" s="1293"/>
      <c r="P4" s="1340"/>
      <c r="Q4" s="1339"/>
      <c r="R4" s="291"/>
      <c r="S4" s="1421" t="e">
        <f>INDEX(PT_DIFFERENTIATION_NUM_CS,MATCH(C4,PT_DIFFERENTIATION_CS_ID,0))</f>
        <v>#N/A</v>
      </c>
      <c r="T4" s="247" t="s">
        <v>514</v>
      </c>
      <c r="U4" s="238"/>
      <c r="V4" s="2189"/>
      <c r="W4" s="2189"/>
      <c r="X4" s="2189"/>
      <c r="Y4" s="2189"/>
      <c r="Z4" s="2189"/>
      <c r="AA4" s="2189"/>
      <c r="AB4" s="2189"/>
      <c r="AC4" s="2190"/>
      <c r="AD4" s="2188" t="e">
        <f>INDEX(PT_DIFFERENTIATION_CS,MATCH(C4,PT_DIFFERENTIATION_CS_ID,0))</f>
        <v>#N/A</v>
      </c>
      <c r="AE4" s="2189"/>
      <c r="AF4" s="2189"/>
      <c r="AG4" s="2189"/>
      <c r="AH4" s="2189"/>
      <c r="AI4" s="2189"/>
      <c r="AJ4" s="2189"/>
      <c r="AK4" s="2189"/>
      <c r="AL4" s="2189"/>
      <c r="AM4" s="2189"/>
      <c r="AN4" s="2189"/>
      <c r="AO4" s="2189"/>
      <c r="AP4" s="2189"/>
      <c r="AQ4" s="2189"/>
      <c r="AR4" s="2189"/>
      <c r="AS4" s="2189"/>
      <c r="AT4" s="2189"/>
      <c r="AU4" s="2189"/>
      <c r="AV4" s="2189"/>
      <c r="AW4" s="2189"/>
      <c r="AX4" s="2189"/>
      <c r="AY4" s="2189"/>
      <c r="AZ4" s="2189"/>
      <c r="BA4" s="2189"/>
      <c r="BB4" s="2190"/>
      <c r="BC4" s="1186" t="s">
        <v>515</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195"/>
      <c r="F5" s="2195"/>
      <c r="G5" s="2195"/>
      <c r="H5" s="2194">
        <v>1</v>
      </c>
      <c r="I5" s="1271"/>
      <c r="J5" s="1271"/>
      <c r="K5" s="1271"/>
      <c r="L5" s="1274"/>
      <c r="M5" s="1243"/>
      <c r="N5" s="1243"/>
      <c r="O5" s="1243"/>
      <c r="P5" s="1425"/>
      <c r="Q5" s="1426"/>
      <c r="R5" s="295"/>
      <c r="S5" s="973"/>
      <c r="T5" s="1427"/>
      <c r="U5" s="1312"/>
      <c r="V5" s="2226"/>
      <c r="W5" s="2226"/>
      <c r="X5" s="2226"/>
      <c r="Y5" s="2226"/>
      <c r="Z5" s="2226"/>
      <c r="AA5" s="2226"/>
      <c r="AB5" s="2226"/>
      <c r="AC5" s="2227"/>
      <c r="AD5" s="2225"/>
      <c r="AE5" s="2226"/>
      <c r="AF5" s="2226"/>
      <c r="AG5" s="2226"/>
      <c r="AH5" s="2226"/>
      <c r="AI5" s="2226"/>
      <c r="AJ5" s="2226"/>
      <c r="AK5" s="2226"/>
      <c r="AL5" s="2226"/>
      <c r="AM5" s="2226"/>
      <c r="AN5" s="2226"/>
      <c r="AO5" s="2226"/>
      <c r="AP5" s="2226"/>
      <c r="AQ5" s="2226"/>
      <c r="AR5" s="2226"/>
      <c r="AS5" s="2226"/>
      <c r="AT5" s="2226"/>
      <c r="AU5" s="2226"/>
      <c r="AV5" s="2226"/>
      <c r="AW5" s="2226"/>
      <c r="AX5" s="2226"/>
      <c r="AY5" s="2226"/>
      <c r="AZ5" s="2226"/>
      <c r="BA5" s="2226"/>
      <c r="BB5" s="2227"/>
      <c r="BC5" s="1313" t="s">
        <v>400</v>
      </c>
      <c r="BE5" s="438"/>
      <c r="BF5" s="438" t="str">
        <f t="shared" si="0"/>
        <v/>
      </c>
      <c r="BG5" s="438"/>
      <c r="BH5" s="438"/>
      <c r="BI5" s="449">
        <v>0</v>
      </c>
    </row>
    <row r="6" spans="1:61" s="1570" customFormat="1" ht="14.25" hidden="1" customHeight="1">
      <c r="A6" s="1271"/>
      <c r="B6" s="1271"/>
      <c r="C6" s="1271"/>
      <c r="D6" s="1271"/>
      <c r="E6" s="2195"/>
      <c r="F6" s="2195"/>
      <c r="G6" s="2195"/>
      <c r="H6" s="2195"/>
      <c r="I6" s="2196" t="str">
        <f>S5&amp;".1"</f>
        <v>.1</v>
      </c>
      <c r="J6" s="1271"/>
      <c r="K6" s="1271"/>
      <c r="L6" s="1274" t="s">
        <v>401</v>
      </c>
      <c r="M6" s="448"/>
      <c r="N6" s="448"/>
      <c r="O6" s="448"/>
      <c r="P6" s="2198">
        <v>1</v>
      </c>
      <c r="Q6" s="1409"/>
      <c r="R6" s="294"/>
      <c r="S6" s="973"/>
      <c r="T6" s="1311"/>
      <c r="U6" s="1312"/>
      <c r="V6" s="2226"/>
      <c r="W6" s="2226"/>
      <c r="X6" s="2226"/>
      <c r="Y6" s="2226"/>
      <c r="Z6" s="2226"/>
      <c r="AA6" s="2226"/>
      <c r="AB6" s="2226"/>
      <c r="AC6" s="2227"/>
      <c r="AD6" s="2225"/>
      <c r="AE6" s="2226"/>
      <c r="AF6" s="2226"/>
      <c r="AG6" s="2226"/>
      <c r="AH6" s="2226"/>
      <c r="AI6" s="2226"/>
      <c r="AJ6" s="2226"/>
      <c r="AK6" s="2226"/>
      <c r="AL6" s="2226"/>
      <c r="AM6" s="2226"/>
      <c r="AN6" s="2226"/>
      <c r="AO6" s="2226"/>
      <c r="AP6" s="2226"/>
      <c r="AQ6" s="2226"/>
      <c r="AR6" s="2226"/>
      <c r="AS6" s="2226"/>
      <c r="AT6" s="2226"/>
      <c r="AU6" s="2226"/>
      <c r="AV6" s="2226"/>
      <c r="AW6" s="2226"/>
      <c r="AX6" s="2226"/>
      <c r="AY6" s="2226"/>
      <c r="AZ6" s="2226"/>
      <c r="BA6" s="2226"/>
      <c r="BB6" s="2227"/>
      <c r="BC6" s="1313"/>
      <c r="BE6" s="438"/>
      <c r="BF6" s="438" t="str">
        <f t="shared" si="0"/>
        <v/>
      </c>
      <c r="BG6" s="438"/>
      <c r="BH6" s="438"/>
      <c r="BI6" s="449">
        <v>0</v>
      </c>
    </row>
    <row r="7" spans="1:61" s="1570" customFormat="1" ht="14.25" hidden="1" customHeight="1">
      <c r="A7" s="1271"/>
      <c r="B7" s="1271"/>
      <c r="C7" s="1271"/>
      <c r="D7" s="1271"/>
      <c r="E7" s="2195"/>
      <c r="F7" s="2195"/>
      <c r="G7" s="2195"/>
      <c r="H7" s="2195"/>
      <c r="I7" s="2197"/>
      <c r="J7" s="2196" t="str">
        <f>S5&amp;".1"</f>
        <v>.1</v>
      </c>
      <c r="K7" s="1271"/>
      <c r="L7" s="1274"/>
      <c r="M7" s="448"/>
      <c r="N7" s="448"/>
      <c r="O7" s="448"/>
      <c r="P7" s="2198"/>
      <c r="Q7" s="2198">
        <v>1</v>
      </c>
      <c r="R7" s="295"/>
      <c r="S7" s="973"/>
      <c r="T7" s="1327"/>
      <c r="U7" s="1312"/>
      <c r="V7" s="2226"/>
      <c r="W7" s="2226"/>
      <c r="X7" s="2226"/>
      <c r="Y7" s="2226"/>
      <c r="Z7" s="2226"/>
      <c r="AA7" s="2226"/>
      <c r="AB7" s="2226"/>
      <c r="AC7" s="2227"/>
      <c r="AD7" s="2225"/>
      <c r="AE7" s="2226"/>
      <c r="AF7" s="2226"/>
      <c r="AG7" s="2226"/>
      <c r="AH7" s="2226"/>
      <c r="AI7" s="2226"/>
      <c r="AJ7" s="2226"/>
      <c r="AK7" s="2226"/>
      <c r="AL7" s="2226"/>
      <c r="AM7" s="2226"/>
      <c r="AN7" s="2226"/>
      <c r="AO7" s="2226"/>
      <c r="AP7" s="2226"/>
      <c r="AQ7" s="2226"/>
      <c r="AR7" s="2226"/>
      <c r="AS7" s="2226"/>
      <c r="AT7" s="2226"/>
      <c r="AU7" s="2226"/>
      <c r="AV7" s="2226"/>
      <c r="AW7" s="2226"/>
      <c r="AX7" s="2226"/>
      <c r="AY7" s="2226"/>
      <c r="AZ7" s="2226"/>
      <c r="BA7" s="2226"/>
      <c r="BB7" s="2227"/>
      <c r="BC7" s="1313"/>
      <c r="BE7" s="438"/>
      <c r="BF7" s="438" t="str">
        <f t="shared" si="0"/>
        <v/>
      </c>
      <c r="BG7" s="438"/>
      <c r="BH7" s="438"/>
      <c r="BI7" s="449">
        <v>0</v>
      </c>
    </row>
    <row r="8" spans="1:61" ht="11.25" hidden="1" customHeight="1">
      <c r="A8" s="1291"/>
      <c r="B8" s="1291"/>
      <c r="C8" s="1291"/>
      <c r="D8" s="1291"/>
      <c r="E8" s="2195"/>
      <c r="F8" s="2195"/>
      <c r="G8" s="2195"/>
      <c r="H8" s="2195"/>
      <c r="I8" s="2197"/>
      <c r="J8" s="2197"/>
      <c r="K8" s="2196" t="e">
        <f>S4&amp;".1"</f>
        <v>#N/A</v>
      </c>
      <c r="L8" s="1292"/>
      <c r="P8" s="2198"/>
      <c r="Q8" s="2198"/>
      <c r="R8" s="2254">
        <v>1</v>
      </c>
      <c r="S8" s="2251" t="e">
        <f>$K8</f>
        <v>#N/A</v>
      </c>
      <c r="T8" s="2271"/>
      <c r="U8" s="238"/>
      <c r="V8" s="689"/>
      <c r="W8" s="1185"/>
      <c r="X8" s="689"/>
      <c r="Y8" s="1185"/>
      <c r="Z8" s="1661"/>
      <c r="AA8" s="1397" t="s">
        <v>65</v>
      </c>
      <c r="AB8" s="1661"/>
      <c r="AC8" s="1397" t="s">
        <v>65</v>
      </c>
      <c r="AD8" s="2138" t="s">
        <v>65</v>
      </c>
      <c r="AE8" s="2247"/>
      <c r="AF8" s="2151">
        <v>1</v>
      </c>
      <c r="AG8" s="2270"/>
      <c r="AH8" s="2076" t="s">
        <v>65</v>
      </c>
      <c r="AI8" s="2247"/>
      <c r="AJ8" s="2151">
        <v>1</v>
      </c>
      <c r="AK8" s="2261" t="s">
        <v>22</v>
      </c>
      <c r="AL8" s="2076" t="s">
        <v>65</v>
      </c>
      <c r="AM8" s="2126"/>
      <c r="AN8" s="2151">
        <v>1</v>
      </c>
      <c r="AO8" s="2274"/>
      <c r="AP8" s="2275" t="s">
        <v>65</v>
      </c>
      <c r="AQ8" s="249"/>
      <c r="AR8" s="1414">
        <v>1</v>
      </c>
      <c r="AS8" s="1420" t="s">
        <v>22</v>
      </c>
      <c r="AT8" s="689"/>
      <c r="AU8" s="1185"/>
      <c r="AV8" s="689"/>
      <c r="AW8" s="1185"/>
      <c r="AX8" s="1661"/>
      <c r="AY8" s="1397" t="s">
        <v>65</v>
      </c>
      <c r="AZ8" s="1661"/>
      <c r="BA8" s="1397" t="s">
        <v>65</v>
      </c>
      <c r="BB8" s="1276"/>
      <c r="BC8" s="2217" t="s">
        <v>499</v>
      </c>
      <c r="BE8" s="438"/>
      <c r="BF8" s="438" t="str">
        <f t="shared" si="0"/>
        <v/>
      </c>
      <c r="BG8" s="438"/>
      <c r="BH8" s="438"/>
      <c r="BI8" s="1083">
        <v>0</v>
      </c>
    </row>
    <row r="9" spans="1:61" ht="11.25" hidden="1" customHeight="1">
      <c r="A9" s="1291"/>
      <c r="B9" s="1291"/>
      <c r="C9" s="1291"/>
      <c r="D9" s="1291"/>
      <c r="E9" s="2195"/>
      <c r="F9" s="2195"/>
      <c r="G9" s="2195"/>
      <c r="H9" s="2195"/>
      <c r="I9" s="2197"/>
      <c r="J9" s="2197"/>
      <c r="K9" s="2196"/>
      <c r="L9" s="1292"/>
      <c r="P9" s="2198"/>
      <c r="Q9" s="2198"/>
      <c r="R9" s="2254"/>
      <c r="S9" s="2252"/>
      <c r="T9" s="2272"/>
      <c r="U9" s="238"/>
      <c r="V9" s="1321"/>
      <c r="W9" s="1424"/>
      <c r="X9" s="1321"/>
      <c r="Y9" s="1424"/>
      <c r="Z9" s="1321"/>
      <c r="AA9" s="1321"/>
      <c r="AB9" s="1321"/>
      <c r="AC9" s="1321"/>
      <c r="AD9" s="2139"/>
      <c r="AE9" s="2247"/>
      <c r="AF9" s="2151"/>
      <c r="AG9" s="2270"/>
      <c r="AH9" s="2076"/>
      <c r="AI9" s="2247"/>
      <c r="AJ9" s="2151"/>
      <c r="AK9" s="2261"/>
      <c r="AL9" s="2076"/>
      <c r="AM9" s="2131"/>
      <c r="AN9" s="2151"/>
      <c r="AO9" s="2274"/>
      <c r="AP9" s="2276"/>
      <c r="AQ9" s="254"/>
      <c r="AR9" s="354"/>
      <c r="AS9" s="354" t="s">
        <v>500</v>
      </c>
      <c r="AT9" s="1321"/>
      <c r="AU9" s="1424"/>
      <c r="AV9" s="1321"/>
      <c r="AW9" s="1424"/>
      <c r="AX9" s="1321"/>
      <c r="AY9" s="1321"/>
      <c r="AZ9" s="1321"/>
      <c r="BA9" s="1321"/>
      <c r="BB9" s="1325"/>
      <c r="BC9" s="2218"/>
      <c r="BE9" s="438"/>
      <c r="BF9" s="438"/>
      <c r="BG9" s="438"/>
      <c r="BH9" s="438"/>
      <c r="BI9" s="1083">
        <v>0</v>
      </c>
    </row>
    <row r="10" spans="1:61" ht="11.25" hidden="1" customHeight="1">
      <c r="A10" s="1291"/>
      <c r="B10" s="1291"/>
      <c r="C10" s="1291"/>
      <c r="D10" s="1291"/>
      <c r="E10" s="2195"/>
      <c r="F10" s="2195"/>
      <c r="G10" s="2195"/>
      <c r="H10" s="2195"/>
      <c r="I10" s="2197"/>
      <c r="J10" s="2197"/>
      <c r="K10" s="2196"/>
      <c r="L10" s="1292"/>
      <c r="P10" s="2198"/>
      <c r="Q10" s="2198"/>
      <c r="R10" s="2254"/>
      <c r="S10" s="2252"/>
      <c r="T10" s="2272"/>
      <c r="U10" s="238"/>
      <c r="V10" s="1321"/>
      <c r="W10" s="1424"/>
      <c r="X10" s="1321"/>
      <c r="Y10" s="1424"/>
      <c r="Z10" s="1321"/>
      <c r="AA10" s="1321"/>
      <c r="AB10" s="1321"/>
      <c r="AC10" s="1321"/>
      <c r="AD10" s="2139"/>
      <c r="AE10" s="2247"/>
      <c r="AF10" s="2151"/>
      <c r="AG10" s="2270"/>
      <c r="AH10" s="2076"/>
      <c r="AI10" s="2247"/>
      <c r="AJ10" s="2151"/>
      <c r="AK10" s="2261"/>
      <c r="AL10" s="2076"/>
      <c r="AM10" s="254"/>
      <c r="AN10" s="1428"/>
      <c r="AO10" s="1428" t="s">
        <v>520</v>
      </c>
      <c r="AP10" s="354"/>
      <c r="AQ10" s="354"/>
      <c r="AR10" s="354"/>
      <c r="AS10" s="1321"/>
      <c r="AT10" s="1321"/>
      <c r="AU10" s="1424"/>
      <c r="AV10" s="1321"/>
      <c r="AW10" s="1424"/>
      <c r="AX10" s="1321"/>
      <c r="AY10" s="1321"/>
      <c r="AZ10" s="1321"/>
      <c r="BA10" s="1321"/>
      <c r="BB10" s="1325"/>
      <c r="BC10" s="2218"/>
      <c r="BE10" s="438"/>
      <c r="BF10" s="438"/>
      <c r="BG10" s="438"/>
      <c r="BH10" s="438"/>
      <c r="BI10" s="1083">
        <v>0</v>
      </c>
    </row>
    <row r="11" spans="1:61" ht="11.25" hidden="1" customHeight="1">
      <c r="A11" s="1291"/>
      <c r="B11" s="1291"/>
      <c r="C11" s="1291"/>
      <c r="D11" s="1291"/>
      <c r="E11" s="2195"/>
      <c r="F11" s="2195"/>
      <c r="G11" s="2195"/>
      <c r="H11" s="2195"/>
      <c r="I11" s="2197"/>
      <c r="J11" s="2197"/>
      <c r="K11" s="2196"/>
      <c r="L11" s="1292"/>
      <c r="P11" s="2198"/>
      <c r="Q11" s="2198"/>
      <c r="R11" s="2254"/>
      <c r="S11" s="2252"/>
      <c r="T11" s="2272"/>
      <c r="U11" s="238"/>
      <c r="V11" s="1321"/>
      <c r="W11" s="1424"/>
      <c r="X11" s="1321"/>
      <c r="Y11" s="1424"/>
      <c r="Z11" s="1321"/>
      <c r="AA11" s="1321"/>
      <c r="AB11" s="1321"/>
      <c r="AC11" s="1321"/>
      <c r="AD11" s="2139"/>
      <c r="AE11" s="2247"/>
      <c r="AF11" s="2151"/>
      <c r="AG11" s="2270"/>
      <c r="AH11" s="2076"/>
      <c r="AI11" s="232"/>
      <c r="AJ11" s="353"/>
      <c r="AK11" s="251" t="s">
        <v>521</v>
      </c>
      <c r="AL11" s="1321"/>
      <c r="AM11" s="1321"/>
      <c r="AN11" s="1321"/>
      <c r="AO11" s="1321"/>
      <c r="AP11" s="1321"/>
      <c r="AQ11" s="1321"/>
      <c r="AR11" s="1321"/>
      <c r="AS11" s="1321"/>
      <c r="AT11" s="1321"/>
      <c r="AU11" s="1424"/>
      <c r="AV11" s="1321"/>
      <c r="AW11" s="1424"/>
      <c r="AX11" s="1321"/>
      <c r="AY11" s="1321"/>
      <c r="AZ11" s="1321"/>
      <c r="BA11" s="1321"/>
      <c r="BB11" s="1325"/>
      <c r="BC11" s="2218"/>
      <c r="BE11" s="438"/>
      <c r="BF11" s="438"/>
      <c r="BG11" s="438"/>
      <c r="BH11" s="438"/>
      <c r="BI11" s="1083">
        <v>0</v>
      </c>
    </row>
    <row r="12" spans="1:61" ht="11.25" hidden="1" customHeight="1">
      <c r="A12" s="1291"/>
      <c r="B12" s="1291"/>
      <c r="C12" s="1291"/>
      <c r="D12" s="1291"/>
      <c r="E12" s="2195"/>
      <c r="F12" s="2195"/>
      <c r="G12" s="2195"/>
      <c r="H12" s="2195"/>
      <c r="I12" s="2197"/>
      <c r="J12" s="2197"/>
      <c r="K12" s="2196"/>
      <c r="L12" s="1292"/>
      <c r="P12" s="2198"/>
      <c r="Q12" s="2198"/>
      <c r="R12" s="2254"/>
      <c r="S12" s="2253"/>
      <c r="T12" s="2273"/>
      <c r="U12" s="238"/>
      <c r="V12" s="1321"/>
      <c r="W12" s="1322" t="str">
        <f>Z8&amp;"-"&amp;AB8</f>
        <v>-</v>
      </c>
      <c r="X12" s="1321"/>
      <c r="Y12" s="1322" t="str">
        <f>AB8&amp;"-"&amp;AD8</f>
        <v>-да</v>
      </c>
      <c r="Z12" s="1321"/>
      <c r="AA12" s="1321"/>
      <c r="AB12" s="1321"/>
      <c r="AC12" s="1321"/>
      <c r="AD12" s="2081"/>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8"/>
      <c r="BE12" s="438"/>
      <c r="BF12" s="438" t="str">
        <f t="shared" ref="BF12:BF18" si="1">IF(T12="","",T12)</f>
        <v/>
      </c>
      <c r="BG12" s="438"/>
      <c r="BH12" s="438"/>
      <c r="BI12" s="1083">
        <v>0</v>
      </c>
    </row>
    <row r="13" spans="1:61" ht="11.25" hidden="1" customHeight="1">
      <c r="A13" s="1291"/>
      <c r="B13" s="1291"/>
      <c r="C13" s="1291"/>
      <c r="D13" s="1291"/>
      <c r="E13" s="2195"/>
      <c r="F13" s="2195"/>
      <c r="G13" s="2195"/>
      <c r="H13" s="2195"/>
      <c r="I13" s="2197"/>
      <c r="J13" s="2196"/>
      <c r="K13" s="1291"/>
      <c r="L13" s="1292"/>
      <c r="P13" s="2198"/>
      <c r="Q13" s="2198"/>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19"/>
      <c r="BE13" s="438"/>
      <c r="BF13" s="438" t="str">
        <f t="shared" si="1"/>
        <v>Добавить строку</v>
      </c>
      <c r="BG13" s="438"/>
      <c r="BH13" s="438"/>
      <c r="BI13" s="1083">
        <v>0</v>
      </c>
    </row>
    <row r="14" spans="1:61" s="1570" customFormat="1" ht="14.25" hidden="1" customHeight="1">
      <c r="A14" s="1271"/>
      <c r="B14" s="1271"/>
      <c r="C14" s="1271"/>
      <c r="D14" s="1271"/>
      <c r="E14" s="2195"/>
      <c r="F14" s="2195"/>
      <c r="G14" s="2195"/>
      <c r="H14" s="2195"/>
      <c r="I14" s="2196"/>
      <c r="J14" s="1271"/>
      <c r="K14" s="1271"/>
      <c r="L14" s="1274"/>
      <c r="M14" s="448"/>
      <c r="N14" s="448"/>
      <c r="O14" s="448"/>
      <c r="P14" s="2198"/>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95"/>
      <c r="F15" s="2195"/>
      <c r="G15" s="2195"/>
      <c r="H15" s="2194"/>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95"/>
      <c r="F16" s="2195"/>
      <c r="G16" s="2194"/>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95"/>
      <c r="F17" s="2194"/>
      <c r="G17" s="1242"/>
      <c r="H17" s="1242"/>
      <c r="I17" s="1242"/>
      <c r="J17" s="1242"/>
      <c r="K17" s="1242"/>
      <c r="L17" s="142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94"/>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7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5"/>
      <c r="U28" s="2175"/>
      <c r="V28" s="2175"/>
      <c r="W28" s="2175"/>
      <c r="X28" s="2175"/>
      <c r="Y28" s="2175"/>
      <c r="Z28" s="2175"/>
      <c r="AA28" s="2175"/>
      <c r="AB28" s="2175"/>
      <c r="AC28" s="2175"/>
      <c r="AD28" s="2175"/>
      <c r="AE28" s="2175"/>
      <c r="AF28" s="2175"/>
      <c r="AG28" s="2175"/>
      <c r="AH28" s="2175"/>
      <c r="AI28" s="2175"/>
      <c r="AJ28" s="2175"/>
      <c r="AK28" s="2175"/>
      <c r="AL28" s="2175"/>
      <c r="AM28" s="2175"/>
      <c r="AN28" s="2175"/>
      <c r="AO28" s="2175"/>
      <c r="AP28" s="2175"/>
      <c r="AQ28" s="2175"/>
      <c r="AR28" s="2175"/>
      <c r="AS28" s="2175"/>
      <c r="AT28" s="2175"/>
      <c r="AU28" s="2175"/>
      <c r="AV28" s="2175"/>
      <c r="AW28" s="2175"/>
      <c r="AX28" s="2175"/>
      <c r="AY28" s="2175"/>
      <c r="AZ28" s="2175"/>
      <c r="BA28" s="1171"/>
      <c r="BI28" s="1083">
        <v>14</v>
      </c>
    </row>
    <row r="29" spans="1:61" ht="14.65" customHeight="1">
      <c r="Q29" s="229"/>
      <c r="R29" s="314"/>
      <c r="S29" s="2147" t="str">
        <f>IF(org=0,"Не определено",org)</f>
        <v>ООО "Профит"</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85" t="s">
        <v>42</v>
      </c>
      <c r="T31" s="2185"/>
      <c r="U31" s="1300"/>
      <c r="V31" s="2187" t="str">
        <f>IF(TITLE_NAME_OR_PR_CHANGE="",IF(TITLE_NAME_OR_PR="","",TITLE_NAME_OR_PR),TITLE_NAME_OR_PR_CHANGE)</f>
        <v/>
      </c>
      <c r="W31" s="2187"/>
      <c r="X31" s="2187"/>
      <c r="Y31" s="2187"/>
      <c r="Z31" s="2187"/>
      <c r="AA31" s="2187"/>
      <c r="AB31" s="2187"/>
      <c r="AC31" s="264"/>
      <c r="AD31" s="2187" t="str">
        <f>IF(TITLE_NAME_OR_PR_CHANGE="",IF(TITLE_NAME_OR_PR="","",TITLE_NAME_OR_PR),TITLE_NAME_OR_PR_CHANGE)</f>
        <v/>
      </c>
      <c r="AE31" s="2187"/>
      <c r="AF31" s="2187"/>
      <c r="AG31" s="2187"/>
      <c r="AH31" s="2187"/>
      <c r="AI31" s="2187"/>
      <c r="AJ31" s="2187"/>
      <c r="AK31" s="2187"/>
      <c r="AL31" s="2187"/>
      <c r="AM31" s="2187"/>
      <c r="AN31" s="2187"/>
      <c r="AO31" s="2187"/>
      <c r="AP31" s="2187"/>
      <c r="AQ31" s="2187"/>
      <c r="AR31" s="2187"/>
      <c r="AS31" s="2187"/>
      <c r="AT31" s="2187"/>
      <c r="AU31" s="2187"/>
      <c r="AV31" s="2187"/>
      <c r="AW31" s="2187"/>
      <c r="AX31" s="2187"/>
      <c r="AY31" s="2187"/>
      <c r="AZ31" s="2187"/>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5" t="s">
        <v>421</v>
      </c>
      <c r="T32" s="2185"/>
      <c r="U32" s="1300"/>
      <c r="V32" s="2186" t="str">
        <f>IF(TITLE_DATE_PR_CHANGE="",IF(TITLE_DATE_PR="","",TITLE_DATE_PR),TITLE_DATE_PR_CHANGE)</f>
        <v/>
      </c>
      <c r="W32" s="2186"/>
      <c r="X32" s="2186"/>
      <c r="Y32" s="2186"/>
      <c r="Z32" s="2186"/>
      <c r="AA32" s="2186"/>
      <c r="AB32" s="2186"/>
      <c r="AC32" s="264"/>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5" t="s">
        <v>422</v>
      </c>
      <c r="T33" s="2185"/>
      <c r="U33" s="1300"/>
      <c r="V33" s="2187" t="str">
        <f>IF(TITLE_NUMBER_PR_CHANGE="",IF(TITLE_NUMBER_PR="","",TITLE_NUMBER_PR),TITLE_NUMBER_PR_CHANGE)</f>
        <v/>
      </c>
      <c r="W33" s="2187"/>
      <c r="X33" s="2187"/>
      <c r="Y33" s="2187"/>
      <c r="Z33" s="2187"/>
      <c r="AA33" s="2187"/>
      <c r="AB33" s="2187"/>
      <c r="AC33" s="264"/>
      <c r="AD33" s="2187" t="str">
        <f>IF(TITLE_NUMBER_PR_CHANGE="",IF(TITLE_NUMBER_PR="","",TITLE_NUMBER_PR),TITLE_NUMBER_PR_CHANGE)</f>
        <v/>
      </c>
      <c r="AE33" s="2187"/>
      <c r="AF33" s="2187"/>
      <c r="AG33" s="2187"/>
      <c r="AH33" s="2187"/>
      <c r="AI33" s="2187"/>
      <c r="AJ33" s="2187"/>
      <c r="AK33" s="2187"/>
      <c r="AL33" s="2187"/>
      <c r="AM33" s="2187"/>
      <c r="AN33" s="2187"/>
      <c r="AO33" s="2187"/>
      <c r="AP33" s="2187"/>
      <c r="AQ33" s="2187"/>
      <c r="AR33" s="2187"/>
      <c r="AS33" s="2187"/>
      <c r="AT33" s="2187"/>
      <c r="AU33" s="2187"/>
      <c r="AV33" s="2187"/>
      <c r="AW33" s="2187"/>
      <c r="AX33" s="2187"/>
      <c r="AY33" s="2187"/>
      <c r="AZ33" s="2187"/>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85" t="s">
        <v>43</v>
      </c>
      <c r="T34" s="2185"/>
      <c r="U34" s="1300"/>
      <c r="V34" s="2187" t="str">
        <f>IF(TITLE_IST_PUB_CHANGE="",IF(TITLE_IST_PUB="","",TITLE_IST_PUB),TITLE_IST_PUB_CHANGE)</f>
        <v/>
      </c>
      <c r="W34" s="2187"/>
      <c r="X34" s="2187"/>
      <c r="Y34" s="2187"/>
      <c r="Z34" s="2187"/>
      <c r="AA34" s="2187"/>
      <c r="AB34" s="2187"/>
      <c r="AC34" s="264"/>
      <c r="AD34" s="2187" t="str">
        <f>IF(TITLE_IST_PUB_CHANGE="",IF(TITLE_IST_PUB="","",TITLE_IST_PUB),TITLE_IST_PUB_CHANGE)</f>
        <v/>
      </c>
      <c r="AE34" s="2187"/>
      <c r="AF34" s="2187"/>
      <c r="AG34" s="2187"/>
      <c r="AH34" s="2187"/>
      <c r="AI34" s="2187"/>
      <c r="AJ34" s="2187"/>
      <c r="AK34" s="2187"/>
      <c r="AL34" s="2187"/>
      <c r="AM34" s="2187"/>
      <c r="AN34" s="2187"/>
      <c r="AO34" s="2187"/>
      <c r="AP34" s="2187"/>
      <c r="AQ34" s="2187"/>
      <c r="AR34" s="2187"/>
      <c r="AS34" s="2187"/>
      <c r="AT34" s="2187"/>
      <c r="AU34" s="2187"/>
      <c r="AV34" s="2187"/>
      <c r="AW34" s="2187"/>
      <c r="AX34" s="2187"/>
      <c r="AY34" s="2187"/>
      <c r="AZ34" s="2187"/>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85" t="s">
        <v>421</v>
      </c>
      <c r="T36" s="2185"/>
      <c r="U36" s="1300"/>
      <c r="V36" s="2186" t="str">
        <f>IF(TITLE_DATE_PR_CHANGE="",IF(TITLE_DATE_PR="","",TITLE_DATE_PR),TITLE_DATE_PR_CHANGE)</f>
        <v/>
      </c>
      <c r="W36" s="2186"/>
      <c r="X36" s="2186"/>
      <c r="Y36" s="2186"/>
      <c r="Z36" s="2186"/>
      <c r="AA36" s="2186"/>
      <c r="AB36" s="2186"/>
      <c r="AC36" s="264"/>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85" t="s">
        <v>422</v>
      </c>
      <c r="T37" s="2185"/>
      <c r="U37" s="1300"/>
      <c r="V37" s="2187" t="str">
        <f>IF(TITLE_NUMBER_PR_CHANGE="",IF(TITLE_NUMBER_PR="","",TITLE_NUMBER_PR),TITLE_NUMBER_PR_CHANGE)</f>
        <v/>
      </c>
      <c r="W37" s="2187"/>
      <c r="X37" s="2187"/>
      <c r="Y37" s="2187"/>
      <c r="Z37" s="2187"/>
      <c r="AA37" s="2187"/>
      <c r="AB37" s="2187"/>
      <c r="AC37" s="264"/>
      <c r="AD37" s="2187" t="str">
        <f>IF(TITLE_NUMBER_PR_CHANGE="",IF(TITLE_NUMBER_PR="","",TITLE_NUMBER_PR),TITLE_NUMBER_PR_CHANGE)</f>
        <v/>
      </c>
      <c r="AE37" s="2187"/>
      <c r="AF37" s="2187"/>
      <c r="AG37" s="2187"/>
      <c r="AH37" s="2187"/>
      <c r="AI37" s="2187"/>
      <c r="AJ37" s="2187"/>
      <c r="AK37" s="2187"/>
      <c r="AL37" s="2187"/>
      <c r="AM37" s="2187"/>
      <c r="AN37" s="2187"/>
      <c r="AO37" s="2187"/>
      <c r="AP37" s="2187"/>
      <c r="AQ37" s="2187"/>
      <c r="AR37" s="2187"/>
      <c r="AS37" s="2187"/>
      <c r="AT37" s="2187"/>
      <c r="AU37" s="2187"/>
      <c r="AV37" s="2187"/>
      <c r="AW37" s="2187"/>
      <c r="AX37" s="2187"/>
      <c r="AY37" s="2187"/>
      <c r="AZ37" s="2187"/>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206"/>
      <c r="W39" s="2206"/>
      <c r="X39" s="2206"/>
      <c r="Y39" s="2206"/>
      <c r="Z39" s="2206"/>
      <c r="AA39" s="2206"/>
      <c r="AB39" s="2206"/>
      <c r="AC39" s="2206"/>
      <c r="AD39" s="2206"/>
      <c r="AE39" s="2206"/>
      <c r="AF39" s="2206"/>
      <c r="AG39" s="2206"/>
      <c r="AH39" s="2206"/>
      <c r="AI39" s="2206"/>
      <c r="AJ39" s="2206"/>
      <c r="AK39" s="2206"/>
      <c r="AL39" s="2206"/>
      <c r="AM39" s="2206"/>
      <c r="AN39" s="2206"/>
      <c r="AO39" s="2206"/>
      <c r="AP39" s="2206"/>
      <c r="AQ39" s="2206"/>
      <c r="AR39" s="2206"/>
      <c r="AS39" s="2206"/>
      <c r="AT39" s="2206"/>
      <c r="AU39" s="2206"/>
      <c r="AV39" s="2206"/>
      <c r="AW39" s="2206"/>
      <c r="AX39" s="2206"/>
      <c r="AY39" s="2206"/>
      <c r="AZ39" s="2206"/>
      <c r="BA39" s="2206"/>
      <c r="BI39" s="1083">
        <v>14</v>
      </c>
    </row>
    <row r="40" spans="1:61" ht="14.65" customHeight="1">
      <c r="Q40" s="229"/>
      <c r="R40" s="314"/>
      <c r="S40" s="2066" t="s">
        <v>298</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299</v>
      </c>
      <c r="BI40" s="1083">
        <v>14</v>
      </c>
    </row>
    <row r="41" spans="1:61" ht="14.65" customHeight="1">
      <c r="Q41" s="229"/>
      <c r="R41" s="314"/>
      <c r="S41" s="2207" t="s">
        <v>87</v>
      </c>
      <c r="T41" s="2155" t="s">
        <v>505</v>
      </c>
      <c r="U41" s="239"/>
      <c r="V41" s="2208" t="s">
        <v>427</v>
      </c>
      <c r="W41" s="2209"/>
      <c r="X41" s="2209"/>
      <c r="Y41" s="2209"/>
      <c r="Z41" s="2209"/>
      <c r="AA41" s="2209"/>
      <c r="AB41" s="2210"/>
      <c r="AC41" s="2211" t="s">
        <v>428</v>
      </c>
      <c r="AD41" s="2240" t="s">
        <v>522</v>
      </c>
      <c r="AE41" s="2224"/>
      <c r="AF41" s="2224"/>
      <c r="AG41" s="2241"/>
      <c r="AH41" s="2240" t="s">
        <v>523</v>
      </c>
      <c r="AI41" s="2224"/>
      <c r="AJ41" s="2224"/>
      <c r="AK41" s="2241"/>
      <c r="AL41" s="2240" t="s">
        <v>524</v>
      </c>
      <c r="AM41" s="2224"/>
      <c r="AN41" s="2224"/>
      <c r="AO41" s="2241"/>
      <c r="AP41" s="2240" t="s">
        <v>509</v>
      </c>
      <c r="AQ41" s="2224"/>
      <c r="AR41" s="2224"/>
      <c r="AS41" s="2241"/>
      <c r="AT41" s="2208" t="s">
        <v>427</v>
      </c>
      <c r="AU41" s="2209"/>
      <c r="AV41" s="2209"/>
      <c r="AW41" s="2209"/>
      <c r="AX41" s="2209"/>
      <c r="AY41" s="2209"/>
      <c r="AZ41" s="2210"/>
      <c r="BA41" s="2211" t="s">
        <v>428</v>
      </c>
      <c r="BB41" s="2214" t="s">
        <v>430</v>
      </c>
      <c r="BC41" s="2066"/>
      <c r="BI41" s="1083">
        <v>14</v>
      </c>
    </row>
    <row r="42" spans="1:61" ht="35.65" customHeight="1">
      <c r="Q42" s="229"/>
      <c r="R42" s="314"/>
      <c r="S42" s="2207"/>
      <c r="T42" s="2155"/>
      <c r="U42" s="962"/>
      <c r="V42" s="2126" t="s">
        <v>510</v>
      </c>
      <c r="W42" s="2127"/>
      <c r="X42" s="2126" t="s">
        <v>511</v>
      </c>
      <c r="Y42" s="2127"/>
      <c r="Z42" s="2126" t="s">
        <v>512</v>
      </c>
      <c r="AA42" s="2236"/>
      <c r="AB42" s="2127"/>
      <c r="AC42" s="2212"/>
      <c r="AD42" s="2242"/>
      <c r="AE42" s="2243"/>
      <c r="AF42" s="2243"/>
      <c r="AG42" s="2255"/>
      <c r="AH42" s="2242"/>
      <c r="AI42" s="2243"/>
      <c r="AJ42" s="2243"/>
      <c r="AK42" s="2255"/>
      <c r="AL42" s="2242"/>
      <c r="AM42" s="2243"/>
      <c r="AN42" s="2243"/>
      <c r="AO42" s="2255"/>
      <c r="AP42" s="2242"/>
      <c r="AQ42" s="2243"/>
      <c r="AR42" s="2243"/>
      <c r="AS42" s="2255"/>
      <c r="AT42" s="2126" t="s">
        <v>525</v>
      </c>
      <c r="AU42" s="2127"/>
      <c r="AV42" s="2126" t="s">
        <v>526</v>
      </c>
      <c r="AW42" s="2127"/>
      <c r="AX42" s="2126" t="s">
        <v>512</v>
      </c>
      <c r="AY42" s="2236"/>
      <c r="AZ42" s="2127"/>
      <c r="BA42" s="2212"/>
      <c r="BB42" s="2215"/>
      <c r="BC42" s="2066"/>
      <c r="BI42" s="1083">
        <v>34</v>
      </c>
    </row>
    <row r="43" spans="1:61" ht="14.65" customHeight="1">
      <c r="Q43" s="229"/>
      <c r="R43" s="314"/>
      <c r="S43" s="2207"/>
      <c r="T43" s="2155"/>
      <c r="U43" s="962"/>
      <c r="V43" s="2131"/>
      <c r="W43" s="2132"/>
      <c r="X43" s="2131"/>
      <c r="Y43" s="2132"/>
      <c r="Z43" s="2131"/>
      <c r="AA43" s="2237"/>
      <c r="AB43" s="2132"/>
      <c r="AC43" s="2212"/>
      <c r="AD43" s="2242"/>
      <c r="AE43" s="2243"/>
      <c r="AF43" s="2243"/>
      <c r="AG43" s="2255"/>
      <c r="AH43" s="2242"/>
      <c r="AI43" s="2243"/>
      <c r="AJ43" s="2243"/>
      <c r="AK43" s="2255"/>
      <c r="AL43" s="2242"/>
      <c r="AM43" s="2243"/>
      <c r="AN43" s="2243"/>
      <c r="AO43" s="2255"/>
      <c r="AP43" s="2242"/>
      <c r="AQ43" s="2243"/>
      <c r="AR43" s="2243"/>
      <c r="AS43" s="2255"/>
      <c r="AT43" s="2131"/>
      <c r="AU43" s="2132"/>
      <c r="AV43" s="2131"/>
      <c r="AW43" s="2132"/>
      <c r="AX43" s="2131"/>
      <c r="AY43" s="2237"/>
      <c r="AZ43" s="2132"/>
      <c r="BA43" s="2212"/>
      <c r="BB43" s="2215"/>
      <c r="BC43" s="2066"/>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207"/>
      <c r="T44" s="2155"/>
      <c r="U44" s="240"/>
      <c r="V44" s="1407" t="s">
        <v>476</v>
      </c>
      <c r="W44" s="1407" t="s">
        <v>477</v>
      </c>
      <c r="X44" s="1407" t="s">
        <v>476</v>
      </c>
      <c r="Y44" s="1407" t="s">
        <v>477</v>
      </c>
      <c r="Z44" s="1417" t="s">
        <v>444</v>
      </c>
      <c r="AA44" s="2160" t="s">
        <v>445</v>
      </c>
      <c r="AB44" s="2174"/>
      <c r="AC44" s="2213"/>
      <c r="AD44" s="2244"/>
      <c r="AE44" s="2245"/>
      <c r="AF44" s="2245"/>
      <c r="AG44" s="2246"/>
      <c r="AH44" s="2244"/>
      <c r="AI44" s="2245"/>
      <c r="AJ44" s="2245"/>
      <c r="AK44" s="2246"/>
      <c r="AL44" s="2244"/>
      <c r="AM44" s="2245"/>
      <c r="AN44" s="2245"/>
      <c r="AO44" s="2246"/>
      <c r="AP44" s="2244"/>
      <c r="AQ44" s="2245"/>
      <c r="AR44" s="2245"/>
      <c r="AS44" s="2246"/>
      <c r="AT44" s="1407" t="s">
        <v>476</v>
      </c>
      <c r="AU44" s="1407" t="s">
        <v>477</v>
      </c>
      <c r="AV44" s="1407" t="s">
        <v>476</v>
      </c>
      <c r="AW44" s="1407" t="s">
        <v>477</v>
      </c>
      <c r="AX44" s="1417" t="s">
        <v>444</v>
      </c>
      <c r="AY44" s="2160" t="s">
        <v>445</v>
      </c>
      <c r="AZ44" s="2174"/>
      <c r="BA44" s="2213"/>
      <c r="BB44" s="2216"/>
      <c r="BC44" s="2066"/>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205">
        <f t="shared" ca="1" si="2"/>
        <v>8</v>
      </c>
      <c r="AB45" s="2205"/>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05">
        <f ca="1">OFFSET(AY45,0,-1)+1</f>
        <v>3</v>
      </c>
      <c r="AZ45" s="2205"/>
      <c r="BA45" s="1410">
        <f ca="1">OFFSET(BA45,0,-2)+1</f>
        <v>4</v>
      </c>
      <c r="BB45" s="1173">
        <f ca="1">OFFSET(BB45,0,-1)</f>
        <v>4</v>
      </c>
      <c r="BC45" s="1410">
        <f ca="1">OFFSET(BC45,0,-1)+1</f>
        <v>5</v>
      </c>
      <c r="BD45" s="449"/>
      <c r="BE45" s="449"/>
      <c r="BF45" s="449"/>
      <c r="BG45" s="449"/>
      <c r="BH45" s="449"/>
      <c r="BI45" s="434">
        <v>0</v>
      </c>
    </row>
    <row r="46" spans="1:61" ht="21.95" customHeight="1">
      <c r="A46" s="1291" t="s">
        <v>274</v>
      </c>
      <c r="B46" s="1291"/>
      <c r="C46" s="1291"/>
      <c r="D46" s="1291"/>
      <c r="E46" s="2194">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189"/>
      <c r="W46" s="2189"/>
      <c r="X46" s="2189"/>
      <c r="Y46" s="2189"/>
      <c r="Z46" s="2189"/>
      <c r="AA46" s="2189"/>
      <c r="AB46" s="2189"/>
      <c r="AC46" s="2190"/>
      <c r="AD46" s="2188" t="str">
        <f>INDEX(PT_DIFFERENTIATION_NTAR,MATCH(A46,PT_DIFFERENTIATION_NTAR_ID,0))</f>
        <v/>
      </c>
      <c r="AE46" s="2189"/>
      <c r="AF46" s="2189"/>
      <c r="AG46" s="2189"/>
      <c r="AH46" s="2189"/>
      <c r="AI46" s="2189"/>
      <c r="AJ46" s="2189"/>
      <c r="AK46" s="2189"/>
      <c r="AL46" s="2189"/>
      <c r="AM46" s="2189"/>
      <c r="AN46" s="2189"/>
      <c r="AO46" s="2189"/>
      <c r="AP46" s="2189"/>
      <c r="AQ46" s="2189"/>
      <c r="AR46" s="2189"/>
      <c r="AS46" s="2189"/>
      <c r="AT46" s="2189"/>
      <c r="AU46" s="2189"/>
      <c r="AV46" s="2189"/>
      <c r="AW46" s="2189"/>
      <c r="AX46" s="2189"/>
      <c r="AY46" s="2189"/>
      <c r="AZ46" s="2189"/>
      <c r="BA46" s="2189"/>
      <c r="BB46" s="2190"/>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274</v>
      </c>
      <c r="B47" s="1291" t="s">
        <v>275</v>
      </c>
      <c r="C47" s="1291"/>
      <c r="D47" s="1291"/>
      <c r="E47" s="2195"/>
      <c r="F47" s="2194">
        <v>1</v>
      </c>
      <c r="G47" s="1291"/>
      <c r="H47" s="1291"/>
      <c r="I47" s="1291"/>
      <c r="J47" s="1291"/>
      <c r="K47" s="1291"/>
      <c r="L47" s="1292"/>
      <c r="M47" s="1293"/>
      <c r="N47" s="1293"/>
      <c r="O47" s="1293"/>
      <c r="P47" s="1338"/>
      <c r="Q47" s="1339"/>
      <c r="R47" s="291"/>
      <c r="S47" s="1421" t="str">
        <f>INDEX(PT_DIFFERENTIATION_NUM_TER,MATCH(B47,PT_DIFFERENTIATION_TER_ID,0))</f>
        <v>.</v>
      </c>
      <c r="T47" s="246" t="s">
        <v>395</v>
      </c>
      <c r="U47" s="238"/>
      <c r="V47" s="2189"/>
      <c r="W47" s="2189"/>
      <c r="X47" s="2189"/>
      <c r="Y47" s="2189"/>
      <c r="Z47" s="2189"/>
      <c r="AA47" s="2189"/>
      <c r="AB47" s="2189"/>
      <c r="AC47" s="2190"/>
      <c r="AD47" s="2188" t="str">
        <f>INDEX(PT_DIFFERENTIATION_TER,MATCH(B47,PT_DIFFERENTIATION_TER_ID,0))</f>
        <v/>
      </c>
      <c r="AE47" s="2189"/>
      <c r="AF47" s="2189"/>
      <c r="AG47" s="2189"/>
      <c r="AH47" s="2189"/>
      <c r="AI47" s="2189"/>
      <c r="AJ47" s="2189"/>
      <c r="AK47" s="2189"/>
      <c r="AL47" s="2189"/>
      <c r="AM47" s="2189"/>
      <c r="AN47" s="2189"/>
      <c r="AO47" s="2189"/>
      <c r="AP47" s="2189"/>
      <c r="AQ47" s="2189"/>
      <c r="AR47" s="2189"/>
      <c r="AS47" s="2189"/>
      <c r="AT47" s="2189"/>
      <c r="AU47" s="2189"/>
      <c r="AV47" s="2189"/>
      <c r="AW47" s="2189"/>
      <c r="AX47" s="2189"/>
      <c r="AY47" s="2189"/>
      <c r="AZ47" s="2189"/>
      <c r="BA47" s="2189"/>
      <c r="BB47" s="2190"/>
      <c r="BC47" s="1186" t="s">
        <v>396</v>
      </c>
      <c r="BE47" s="438"/>
      <c r="BF47" s="438" t="str">
        <f t="shared" si="3"/>
        <v>Территория действия тарифа</v>
      </c>
      <c r="BG47" s="438"/>
      <c r="BH47" s="438"/>
      <c r="BI47" s="1083">
        <v>21</v>
      </c>
    </row>
    <row r="48" spans="1:61" ht="35.65" customHeight="1">
      <c r="A48" s="1291" t="s">
        <v>274</v>
      </c>
      <c r="B48" s="1291" t="s">
        <v>275</v>
      </c>
      <c r="C48" s="1291" t="s">
        <v>276</v>
      </c>
      <c r="D48" s="1291"/>
      <c r="E48" s="2195"/>
      <c r="F48" s="2195"/>
      <c r="G48" s="2194">
        <v>1</v>
      </c>
      <c r="H48" s="1291"/>
      <c r="I48" s="1291"/>
      <c r="J48" s="1291"/>
      <c r="K48" s="1291"/>
      <c r="L48" s="1292"/>
      <c r="M48" s="1293"/>
      <c r="N48" s="1293"/>
      <c r="O48" s="1293"/>
      <c r="P48" s="1340"/>
      <c r="Q48" s="1339"/>
      <c r="R48" s="291"/>
      <c r="S48" s="1421" t="str">
        <f>INDEX(PT_DIFFERENTIATION_NUM_CS,MATCH(C48,PT_DIFFERENTIATION_CS_ID,0))</f>
        <v>..</v>
      </c>
      <c r="T48" s="247" t="s">
        <v>514</v>
      </c>
      <c r="U48" s="238"/>
      <c r="V48" s="2189"/>
      <c r="W48" s="2189"/>
      <c r="X48" s="2189"/>
      <c r="Y48" s="2189"/>
      <c r="Z48" s="2189"/>
      <c r="AA48" s="2189"/>
      <c r="AB48" s="2189"/>
      <c r="AC48" s="2190"/>
      <c r="AD48" s="2188" t="str">
        <f>INDEX(PT_DIFFERENTIATION_CS,MATCH(C48,PT_DIFFERENTIATION_CS_ID,0))</f>
        <v/>
      </c>
      <c r="AE48" s="2189"/>
      <c r="AF48" s="2189"/>
      <c r="AG48" s="2189"/>
      <c r="AH48" s="2189"/>
      <c r="AI48" s="2189"/>
      <c r="AJ48" s="2189"/>
      <c r="AK48" s="2189"/>
      <c r="AL48" s="2189"/>
      <c r="AM48" s="2189"/>
      <c r="AN48" s="2189"/>
      <c r="AO48" s="2189"/>
      <c r="AP48" s="2189"/>
      <c r="AQ48" s="2189"/>
      <c r="AR48" s="2189"/>
      <c r="AS48" s="2189"/>
      <c r="AT48" s="2189"/>
      <c r="AU48" s="2189"/>
      <c r="AV48" s="2189"/>
      <c r="AW48" s="2189"/>
      <c r="AX48" s="2189"/>
      <c r="AY48" s="2189"/>
      <c r="AZ48" s="2189"/>
      <c r="BA48" s="2189"/>
      <c r="BB48" s="2190"/>
      <c r="BC48" s="1186" t="s">
        <v>515</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274</v>
      </c>
      <c r="B49" s="1271" t="s">
        <v>275</v>
      </c>
      <c r="C49" s="1271" t="s">
        <v>276</v>
      </c>
      <c r="D49" s="1271" t="s">
        <v>527</v>
      </c>
      <c r="E49" s="2195"/>
      <c r="F49" s="2195"/>
      <c r="G49" s="2195"/>
      <c r="H49" s="2194">
        <v>1</v>
      </c>
      <c r="I49" s="1271"/>
      <c r="J49" s="1271"/>
      <c r="K49" s="1271"/>
      <c r="L49" s="1274"/>
      <c r="M49" s="1243"/>
      <c r="N49" s="1243"/>
      <c r="O49" s="1243"/>
      <c r="P49" s="1425"/>
      <c r="Q49" s="1426"/>
      <c r="R49" s="295"/>
      <c r="S49" s="973"/>
      <c r="T49" s="1427"/>
      <c r="U49" s="1312"/>
      <c r="V49" s="2226"/>
      <c r="W49" s="2226"/>
      <c r="X49" s="2226"/>
      <c r="Y49" s="2226"/>
      <c r="Z49" s="2226"/>
      <c r="AA49" s="2226"/>
      <c r="AB49" s="2226"/>
      <c r="AC49" s="2227"/>
      <c r="AD49" s="2225"/>
      <c r="AE49" s="2226"/>
      <c r="AF49" s="2226"/>
      <c r="AG49" s="2226"/>
      <c r="AH49" s="2226"/>
      <c r="AI49" s="2226"/>
      <c r="AJ49" s="2226"/>
      <c r="AK49" s="2226"/>
      <c r="AL49" s="2226"/>
      <c r="AM49" s="2226"/>
      <c r="AN49" s="2226"/>
      <c r="AO49" s="2226"/>
      <c r="AP49" s="2226"/>
      <c r="AQ49" s="2226"/>
      <c r="AR49" s="2226"/>
      <c r="AS49" s="2226"/>
      <c r="AT49" s="2226"/>
      <c r="AU49" s="2226"/>
      <c r="AV49" s="2226"/>
      <c r="AW49" s="2226"/>
      <c r="AX49" s="2226"/>
      <c r="AY49" s="2226"/>
      <c r="AZ49" s="2226"/>
      <c r="BA49" s="2226"/>
      <c r="BB49" s="2227"/>
      <c r="BC49" s="1313" t="s">
        <v>400</v>
      </c>
      <c r="BE49" s="438"/>
      <c r="BF49" s="438" t="str">
        <f t="shared" si="3"/>
        <v/>
      </c>
      <c r="BG49" s="438"/>
      <c r="BH49" s="438"/>
      <c r="BI49" s="449">
        <v>0</v>
      </c>
    </row>
    <row r="50" spans="1:61" s="1570" customFormat="1" ht="0" hidden="1" customHeight="1">
      <c r="A50" s="1271" t="s">
        <v>274</v>
      </c>
      <c r="B50" s="1271" t="s">
        <v>275</v>
      </c>
      <c r="C50" s="1271" t="s">
        <v>276</v>
      </c>
      <c r="D50" s="1271" t="s">
        <v>527</v>
      </c>
      <c r="E50" s="2195"/>
      <c r="F50" s="2195"/>
      <c r="G50" s="2195"/>
      <c r="H50" s="2195"/>
      <c r="I50" s="2196" t="str">
        <f>S49&amp;".1"</f>
        <v>.1</v>
      </c>
      <c r="J50" s="1271"/>
      <c r="K50" s="1271"/>
      <c r="L50" s="1274" t="s">
        <v>401</v>
      </c>
      <c r="M50" s="448"/>
      <c r="N50" s="448"/>
      <c r="O50" s="448"/>
      <c r="P50" s="2198">
        <v>1</v>
      </c>
      <c r="Q50" s="1409"/>
      <c r="R50" s="294"/>
      <c r="S50" s="973"/>
      <c r="T50" s="1311"/>
      <c r="U50" s="1312"/>
      <c r="V50" s="2226"/>
      <c r="W50" s="2226"/>
      <c r="X50" s="2226"/>
      <c r="Y50" s="2226"/>
      <c r="Z50" s="2226"/>
      <c r="AA50" s="2226"/>
      <c r="AB50" s="2226"/>
      <c r="AC50" s="2227"/>
      <c r="AD50" s="2225"/>
      <c r="AE50" s="2226"/>
      <c r="AF50" s="2226"/>
      <c r="AG50" s="2226"/>
      <c r="AH50" s="2226"/>
      <c r="AI50" s="2226"/>
      <c r="AJ50" s="2226"/>
      <c r="AK50" s="2226"/>
      <c r="AL50" s="2226"/>
      <c r="AM50" s="2226"/>
      <c r="AN50" s="2226"/>
      <c r="AO50" s="2226"/>
      <c r="AP50" s="2226"/>
      <c r="AQ50" s="2226"/>
      <c r="AR50" s="2226"/>
      <c r="AS50" s="2226"/>
      <c r="AT50" s="2226"/>
      <c r="AU50" s="2226"/>
      <c r="AV50" s="2226"/>
      <c r="AW50" s="2226"/>
      <c r="AX50" s="2226"/>
      <c r="AY50" s="2226"/>
      <c r="AZ50" s="2226"/>
      <c r="BA50" s="2226"/>
      <c r="BB50" s="2227"/>
      <c r="BC50" s="1313"/>
      <c r="BE50" s="438"/>
      <c r="BF50" s="438" t="str">
        <f t="shared" si="3"/>
        <v/>
      </c>
      <c r="BG50" s="438"/>
      <c r="BH50" s="438"/>
      <c r="BI50" s="449">
        <v>0</v>
      </c>
    </row>
    <row r="51" spans="1:61" s="1570" customFormat="1" ht="0" hidden="1" customHeight="1">
      <c r="A51" s="1271" t="s">
        <v>274</v>
      </c>
      <c r="B51" s="1271" t="s">
        <v>275</v>
      </c>
      <c r="C51" s="1271" t="s">
        <v>276</v>
      </c>
      <c r="D51" s="1271" t="s">
        <v>527</v>
      </c>
      <c r="E51" s="2195"/>
      <c r="F51" s="2195"/>
      <c r="G51" s="2195"/>
      <c r="H51" s="2195"/>
      <c r="I51" s="2197"/>
      <c r="J51" s="2196" t="str">
        <f>S49&amp;".1"</f>
        <v>.1</v>
      </c>
      <c r="K51" s="1271"/>
      <c r="L51" s="1274"/>
      <c r="M51" s="448"/>
      <c r="N51" s="448"/>
      <c r="O51" s="448"/>
      <c r="P51" s="2198"/>
      <c r="Q51" s="2198">
        <v>1</v>
      </c>
      <c r="R51" s="295"/>
      <c r="S51" s="973"/>
      <c r="T51" s="1327"/>
      <c r="U51" s="1312"/>
      <c r="V51" s="2226"/>
      <c r="W51" s="2226"/>
      <c r="X51" s="2226"/>
      <c r="Y51" s="2226"/>
      <c r="Z51" s="2226"/>
      <c r="AA51" s="2226"/>
      <c r="AB51" s="2226"/>
      <c r="AC51" s="2227"/>
      <c r="AD51" s="2225"/>
      <c r="AE51" s="2226"/>
      <c r="AF51" s="2226"/>
      <c r="AG51" s="2226"/>
      <c r="AH51" s="2226"/>
      <c r="AI51" s="2226"/>
      <c r="AJ51" s="2226"/>
      <c r="AK51" s="2226"/>
      <c r="AL51" s="2226"/>
      <c r="AM51" s="2226"/>
      <c r="AN51" s="2277"/>
      <c r="AO51" s="2277"/>
      <c r="AP51" s="2226"/>
      <c r="AQ51" s="2226"/>
      <c r="AR51" s="2226"/>
      <c r="AS51" s="2226"/>
      <c r="AT51" s="2226"/>
      <c r="AU51" s="2226"/>
      <c r="AV51" s="2226"/>
      <c r="AW51" s="2226"/>
      <c r="AX51" s="2226"/>
      <c r="AY51" s="2226"/>
      <c r="AZ51" s="2226"/>
      <c r="BA51" s="2226"/>
      <c r="BB51" s="2227"/>
      <c r="BC51" s="1313"/>
      <c r="BE51" s="438"/>
      <c r="BF51" s="438" t="str">
        <f t="shared" si="3"/>
        <v/>
      </c>
      <c r="BG51" s="438"/>
      <c r="BH51" s="438"/>
      <c r="BI51" s="449">
        <v>0</v>
      </c>
    </row>
    <row r="52" spans="1:61" ht="11.45" customHeight="1">
      <c r="A52" s="1291" t="s">
        <v>274</v>
      </c>
      <c r="B52" s="1291" t="s">
        <v>275</v>
      </c>
      <c r="C52" s="1291" t="s">
        <v>276</v>
      </c>
      <c r="D52" s="1291" t="s">
        <v>527</v>
      </c>
      <c r="E52" s="2195"/>
      <c r="F52" s="2195"/>
      <c r="G52" s="2195"/>
      <c r="H52" s="2195"/>
      <c r="I52" s="2197"/>
      <c r="J52" s="2197"/>
      <c r="K52" s="2196" t="str">
        <f>S48&amp;".1"</f>
        <v>...1</v>
      </c>
      <c r="L52" s="1292"/>
      <c r="P52" s="2198"/>
      <c r="Q52" s="2198"/>
      <c r="R52" s="295">
        <v>1</v>
      </c>
      <c r="S52" s="2251" t="str">
        <f>$K52</f>
        <v>...1</v>
      </c>
      <c r="T52" s="2271"/>
      <c r="U52" s="238"/>
      <c r="V52" s="689"/>
      <c r="W52" s="1185"/>
      <c r="X52" s="689"/>
      <c r="Y52" s="1185"/>
      <c r="Z52" s="1661"/>
      <c r="AA52" s="1397" t="s">
        <v>65</v>
      </c>
      <c r="AB52" s="1661"/>
      <c r="AC52" s="1397" t="s">
        <v>65</v>
      </c>
      <c r="AD52" s="2138" t="s">
        <v>65</v>
      </c>
      <c r="AE52" s="2247"/>
      <c r="AF52" s="2151">
        <v>1</v>
      </c>
      <c r="AG52" s="2270"/>
      <c r="AH52" s="2076" t="s">
        <v>65</v>
      </c>
      <c r="AI52" s="2247"/>
      <c r="AJ52" s="2151">
        <v>1</v>
      </c>
      <c r="AK52" s="2261" t="s">
        <v>22</v>
      </c>
      <c r="AL52" s="2076" t="s">
        <v>65</v>
      </c>
      <c r="AM52" s="2126"/>
      <c r="AN52" s="2151">
        <v>1</v>
      </c>
      <c r="AO52" s="2274"/>
      <c r="AP52" s="2275" t="s">
        <v>65</v>
      </c>
      <c r="AQ52" s="249"/>
      <c r="AR52" s="1414">
        <v>1</v>
      </c>
      <c r="AS52" s="1420" t="s">
        <v>22</v>
      </c>
      <c r="AT52" s="689"/>
      <c r="AU52" s="1185"/>
      <c r="AV52" s="689"/>
      <c r="AW52" s="1185"/>
      <c r="AX52" s="1661"/>
      <c r="AY52" s="1397" t="s">
        <v>65</v>
      </c>
      <c r="AZ52" s="1661"/>
      <c r="BA52" s="1397" t="s">
        <v>65</v>
      </c>
      <c r="BB52" s="1276"/>
      <c r="BC52" s="2217" t="s">
        <v>499</v>
      </c>
      <c r="BE52" s="438"/>
      <c r="BF52" s="438" t="str">
        <f t="shared" si="3"/>
        <v/>
      </c>
      <c r="BG52" s="438"/>
      <c r="BH52" s="438"/>
      <c r="BI52" s="1083">
        <v>11</v>
      </c>
    </row>
    <row r="53" spans="1:61" ht="11.45" customHeight="1">
      <c r="A53" s="1291"/>
      <c r="B53" s="1291"/>
      <c r="C53" s="1291"/>
      <c r="D53" s="1291"/>
      <c r="E53" s="2195"/>
      <c r="F53" s="2195"/>
      <c r="G53" s="2195"/>
      <c r="H53" s="2195"/>
      <c r="I53" s="2197"/>
      <c r="J53" s="2197"/>
      <c r="K53" s="2196"/>
      <c r="L53" s="1292"/>
      <c r="P53" s="2198"/>
      <c r="Q53" s="2198"/>
      <c r="R53" s="295"/>
      <c r="S53" s="2252"/>
      <c r="T53" s="2272"/>
      <c r="U53" s="238"/>
      <c r="V53" s="1321"/>
      <c r="W53" s="1424"/>
      <c r="X53" s="1321"/>
      <c r="Y53" s="1424"/>
      <c r="Z53" s="1321"/>
      <c r="AA53" s="1321"/>
      <c r="AB53" s="1321"/>
      <c r="AC53" s="1321"/>
      <c r="AD53" s="2139"/>
      <c r="AE53" s="2247"/>
      <c r="AF53" s="2151"/>
      <c r="AG53" s="2270"/>
      <c r="AH53" s="2076"/>
      <c r="AI53" s="2247"/>
      <c r="AJ53" s="2151"/>
      <c r="AK53" s="2261"/>
      <c r="AL53" s="2076"/>
      <c r="AM53" s="2131"/>
      <c r="AN53" s="2151"/>
      <c r="AO53" s="2274"/>
      <c r="AP53" s="2276"/>
      <c r="AQ53" s="254"/>
      <c r="AR53" s="354"/>
      <c r="AS53" s="354" t="s">
        <v>500</v>
      </c>
      <c r="AT53" s="1321"/>
      <c r="AU53" s="1424"/>
      <c r="AV53" s="1321"/>
      <c r="AW53" s="1424"/>
      <c r="AX53" s="1321"/>
      <c r="AY53" s="1321"/>
      <c r="AZ53" s="1321"/>
      <c r="BA53" s="1321"/>
      <c r="BB53" s="1325"/>
      <c r="BC53" s="2218"/>
      <c r="BE53" s="438"/>
      <c r="BF53" s="438"/>
      <c r="BG53" s="438"/>
      <c r="BH53" s="438"/>
      <c r="BI53" s="1083">
        <v>11</v>
      </c>
    </row>
    <row r="54" spans="1:61" ht="11.45" customHeight="1">
      <c r="A54" s="1291" t="s">
        <v>274</v>
      </c>
      <c r="B54" s="1291"/>
      <c r="C54" s="1291"/>
      <c r="D54" s="1291"/>
      <c r="E54" s="2195"/>
      <c r="F54" s="2195"/>
      <c r="G54" s="2195"/>
      <c r="H54" s="2195"/>
      <c r="I54" s="2197"/>
      <c r="J54" s="2197"/>
      <c r="K54" s="2196"/>
      <c r="L54" s="1292"/>
      <c r="P54" s="2198"/>
      <c r="Q54" s="2198"/>
      <c r="R54" s="295"/>
      <c r="S54" s="2252"/>
      <c r="T54" s="2272"/>
      <c r="U54" s="238"/>
      <c r="V54" s="1321"/>
      <c r="W54" s="1424"/>
      <c r="X54" s="1321"/>
      <c r="Y54" s="1424"/>
      <c r="Z54" s="1321"/>
      <c r="AA54" s="1321"/>
      <c r="AB54" s="1321"/>
      <c r="AC54" s="1321"/>
      <c r="AD54" s="2139"/>
      <c r="AE54" s="2247"/>
      <c r="AF54" s="2151"/>
      <c r="AG54" s="2270"/>
      <c r="AH54" s="2076"/>
      <c r="AI54" s="2247"/>
      <c r="AJ54" s="2151"/>
      <c r="AK54" s="2261"/>
      <c r="AL54" s="2076"/>
      <c r="AM54" s="254"/>
      <c r="AN54" s="1428"/>
      <c r="AO54" s="1428" t="s">
        <v>520</v>
      </c>
      <c r="AP54" s="354"/>
      <c r="AQ54" s="354"/>
      <c r="AR54" s="354"/>
      <c r="AS54" s="1321"/>
      <c r="AT54" s="1321"/>
      <c r="AU54" s="1424"/>
      <c r="AV54" s="1321"/>
      <c r="AW54" s="1424"/>
      <c r="AX54" s="1321"/>
      <c r="AY54" s="1321"/>
      <c r="AZ54" s="1321"/>
      <c r="BA54" s="1321"/>
      <c r="BB54" s="1325"/>
      <c r="BC54" s="2218"/>
      <c r="BE54" s="438"/>
      <c r="BF54" s="438"/>
      <c r="BG54" s="438"/>
      <c r="BH54" s="438"/>
      <c r="BI54" s="1083">
        <v>11</v>
      </c>
    </row>
    <row r="55" spans="1:61" ht="11.45" customHeight="1">
      <c r="A55" s="1291" t="s">
        <v>274</v>
      </c>
      <c r="B55" s="1291"/>
      <c r="C55" s="1291"/>
      <c r="D55" s="1291"/>
      <c r="E55" s="2195"/>
      <c r="F55" s="2195"/>
      <c r="G55" s="2195"/>
      <c r="H55" s="2195"/>
      <c r="I55" s="2197"/>
      <c r="J55" s="2197"/>
      <c r="K55" s="2196"/>
      <c r="L55" s="1292"/>
      <c r="P55" s="2198"/>
      <c r="Q55" s="2198"/>
      <c r="R55" s="295"/>
      <c r="S55" s="2252"/>
      <c r="T55" s="2272"/>
      <c r="U55" s="238"/>
      <c r="V55" s="1321"/>
      <c r="W55" s="1424"/>
      <c r="X55" s="1321"/>
      <c r="Y55" s="1424"/>
      <c r="Z55" s="1321"/>
      <c r="AA55" s="1321"/>
      <c r="AB55" s="1321"/>
      <c r="AC55" s="1321"/>
      <c r="AD55" s="2139"/>
      <c r="AE55" s="2247"/>
      <c r="AF55" s="2151"/>
      <c r="AG55" s="2270"/>
      <c r="AH55" s="2076"/>
      <c r="AI55" s="232"/>
      <c r="AJ55" s="353"/>
      <c r="AK55" s="251" t="s">
        <v>521</v>
      </c>
      <c r="AL55" s="1321"/>
      <c r="AM55" s="1321"/>
      <c r="AN55" s="1321"/>
      <c r="AO55" s="1321"/>
      <c r="AP55" s="1321"/>
      <c r="AQ55" s="1321"/>
      <c r="AR55" s="1321"/>
      <c r="AS55" s="1321"/>
      <c r="AT55" s="1321"/>
      <c r="AU55" s="1424"/>
      <c r="AV55" s="1321"/>
      <c r="AW55" s="1424"/>
      <c r="AX55" s="1321"/>
      <c r="AY55" s="1321"/>
      <c r="AZ55" s="1321"/>
      <c r="BA55" s="1321"/>
      <c r="BB55" s="1325"/>
      <c r="BC55" s="2218"/>
      <c r="BE55" s="438"/>
      <c r="BF55" s="438"/>
      <c r="BG55" s="438"/>
      <c r="BH55" s="438"/>
      <c r="BI55" s="1083">
        <v>11</v>
      </c>
    </row>
    <row r="56" spans="1:61" ht="11.45" customHeight="1">
      <c r="A56" s="1291" t="s">
        <v>274</v>
      </c>
      <c r="B56" s="1291" t="s">
        <v>275</v>
      </c>
      <c r="C56" s="1291" t="s">
        <v>276</v>
      </c>
      <c r="D56" s="1291" t="s">
        <v>527</v>
      </c>
      <c r="E56" s="2195"/>
      <c r="F56" s="2195"/>
      <c r="G56" s="2195"/>
      <c r="H56" s="2195"/>
      <c r="I56" s="2197"/>
      <c r="J56" s="2197"/>
      <c r="K56" s="2196"/>
      <c r="L56" s="1292"/>
      <c r="P56" s="2198"/>
      <c r="Q56" s="2198"/>
      <c r="R56" s="295"/>
      <c r="S56" s="2253"/>
      <c r="T56" s="2273"/>
      <c r="U56" s="238"/>
      <c r="V56" s="1321"/>
      <c r="W56" s="1322" t="str">
        <f>Z52&amp;"-"&amp;AB52</f>
        <v>-</v>
      </c>
      <c r="X56" s="1321"/>
      <c r="Y56" s="1322" t="str">
        <f>AB52&amp;"-"&amp;AD52</f>
        <v>-да</v>
      </c>
      <c r="Z56" s="1321"/>
      <c r="AA56" s="1321"/>
      <c r="AB56" s="1321"/>
      <c r="AC56" s="1321"/>
      <c r="AD56" s="2081"/>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8"/>
      <c r="BE56" s="438"/>
      <c r="BF56" s="438" t="str">
        <f t="shared" ref="BF56:BF63" si="4">IF(T56="","",T56)</f>
        <v/>
      </c>
      <c r="BG56" s="438"/>
      <c r="BH56" s="438"/>
      <c r="BI56" s="1083">
        <v>11</v>
      </c>
    </row>
    <row r="57" spans="1:61" ht="11.45" customHeight="1">
      <c r="A57" s="1291" t="s">
        <v>274</v>
      </c>
      <c r="B57" s="1291" t="s">
        <v>275</v>
      </c>
      <c r="C57" s="1291" t="s">
        <v>276</v>
      </c>
      <c r="D57" s="1291" t="s">
        <v>527</v>
      </c>
      <c r="E57" s="2195"/>
      <c r="F57" s="2195"/>
      <c r="G57" s="2195"/>
      <c r="H57" s="2195"/>
      <c r="I57" s="2197"/>
      <c r="J57" s="2196"/>
      <c r="K57" s="1291"/>
      <c r="L57" s="1292"/>
      <c r="P57" s="2198"/>
      <c r="Q57" s="2198"/>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19"/>
      <c r="BE57" s="438"/>
      <c r="BF57" s="438" t="str">
        <f t="shared" si="4"/>
        <v>Добавить строку</v>
      </c>
      <c r="BG57" s="438"/>
      <c r="BH57" s="438"/>
      <c r="BI57" s="1083">
        <v>11</v>
      </c>
    </row>
    <row r="58" spans="1:61" s="1570" customFormat="1" ht="0" hidden="1" customHeight="1">
      <c r="A58" s="1271" t="s">
        <v>274</v>
      </c>
      <c r="B58" s="1271" t="s">
        <v>275</v>
      </c>
      <c r="C58" s="1271" t="s">
        <v>276</v>
      </c>
      <c r="D58" s="1271" t="s">
        <v>527</v>
      </c>
      <c r="E58" s="2195"/>
      <c r="F58" s="2195"/>
      <c r="G58" s="2195"/>
      <c r="H58" s="2195"/>
      <c r="I58" s="2196"/>
      <c r="J58" s="1271"/>
      <c r="K58" s="1271"/>
      <c r="L58" s="1274"/>
      <c r="M58" s="448"/>
      <c r="N58" s="448"/>
      <c r="O58" s="448"/>
      <c r="P58" s="2198"/>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274</v>
      </c>
      <c r="B59" s="1271" t="s">
        <v>275</v>
      </c>
      <c r="C59" s="1271" t="s">
        <v>276</v>
      </c>
      <c r="D59" s="1271" t="s">
        <v>527</v>
      </c>
      <c r="E59" s="2195"/>
      <c r="F59" s="2195"/>
      <c r="G59" s="2195"/>
      <c r="H59" s="2194"/>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274</v>
      </c>
      <c r="B60" s="1271" t="s">
        <v>275</v>
      </c>
      <c r="C60" s="1271" t="s">
        <v>276</v>
      </c>
      <c r="D60" s="1242"/>
      <c r="E60" s="2195"/>
      <c r="F60" s="2195"/>
      <c r="G60" s="2194"/>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274</v>
      </c>
      <c r="B61" s="1271" t="s">
        <v>275</v>
      </c>
      <c r="C61" s="1242"/>
      <c r="D61" s="1242"/>
      <c r="E61" s="2195"/>
      <c r="F61" s="2194"/>
      <c r="G61" s="1242"/>
      <c r="H61" s="1242"/>
      <c r="I61" s="1242"/>
      <c r="J61" s="1242"/>
      <c r="K61" s="1242"/>
      <c r="L61" s="142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274</v>
      </c>
      <c r="B62" s="1271"/>
      <c r="C62" s="1271"/>
      <c r="D62" s="1271"/>
      <c r="E62" s="2194"/>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4.65" customHeight="1">
      <c r="O65" s="475"/>
      <c r="S65" s="1181"/>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AV65" s="2193"/>
      <c r="AW65" s="2193"/>
      <c r="AX65" s="2193"/>
      <c r="AY65" s="2193"/>
      <c r="AZ65" s="2193"/>
      <c r="BA65" s="2193"/>
      <c r="BB65" s="2193"/>
      <c r="BC65" s="2193"/>
      <c r="BI65" s="1083">
        <v>14</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65" customHeight="1">
      <c r="O67" s="475"/>
      <c r="S67" s="1181"/>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AV67" s="2193"/>
      <c r="AW67" s="2193"/>
      <c r="AX67" s="2193"/>
      <c r="AY67" s="2193"/>
      <c r="AZ67" s="2193"/>
      <c r="BA67" s="2193"/>
      <c r="BB67" s="2193"/>
      <c r="BC67" s="2193"/>
      <c r="BI67" s="1083">
        <v>14</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C1" s="265"/>
      <c r="AN1" s="265"/>
      <c r="AY1" s="1083" t="s">
        <v>14</v>
      </c>
    </row>
    <row r="2" spans="1:51" ht="23.25" hidden="1" customHeight="1">
      <c r="A2" s="1291"/>
      <c r="B2" s="1291"/>
      <c r="C2" s="1291"/>
      <c r="D2" s="1291"/>
      <c r="E2" s="219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8"/>
      <c r="W2" s="2189"/>
      <c r="X2" s="2189"/>
      <c r="Y2" s="2189"/>
      <c r="Z2" s="2189"/>
      <c r="AA2" s="2189"/>
      <c r="AB2" s="2189"/>
      <c r="AC2" s="2189"/>
      <c r="AD2" s="2189"/>
      <c r="AE2" s="2189"/>
      <c r="AF2" s="2190"/>
      <c r="AG2" s="2188" t="e">
        <f>INDEX(PT_DIFFERENTIATION_NTAR,MATCH(A2,PT_DIFFERENTIATION_NTAR_ID,0))</f>
        <v>#N/A</v>
      </c>
      <c r="AH2" s="2189"/>
      <c r="AI2" s="2189"/>
      <c r="AJ2" s="2189"/>
      <c r="AK2" s="2189"/>
      <c r="AL2" s="2189"/>
      <c r="AM2" s="2189"/>
      <c r="AN2" s="2189"/>
      <c r="AO2" s="2189"/>
      <c r="AP2" s="2189"/>
      <c r="AQ2" s="2189"/>
      <c r="AR2" s="2190"/>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95"/>
      <c r="F3" s="219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8"/>
      <c r="W3" s="2189"/>
      <c r="X3" s="2189"/>
      <c r="Y3" s="2189"/>
      <c r="Z3" s="2189"/>
      <c r="AA3" s="2189"/>
      <c r="AB3" s="2189"/>
      <c r="AC3" s="2189"/>
      <c r="AD3" s="2189"/>
      <c r="AE3" s="2189"/>
      <c r="AF3" s="2190"/>
      <c r="AG3" s="2188" t="e">
        <f>INDEX(PT_DIFFERENTIATION_TER,MATCH(B3,PT_DIFFERENTIATION_TER_ID,0))</f>
        <v>#N/A</v>
      </c>
      <c r="AH3" s="2189"/>
      <c r="AI3" s="2189"/>
      <c r="AJ3" s="2189"/>
      <c r="AK3" s="2189"/>
      <c r="AL3" s="2189"/>
      <c r="AM3" s="2189"/>
      <c r="AN3" s="2189"/>
      <c r="AO3" s="2189"/>
      <c r="AP3" s="2189"/>
      <c r="AQ3" s="2189"/>
      <c r="AR3" s="2190"/>
      <c r="AS3" s="1186" t="s">
        <v>396</v>
      </c>
      <c r="AU3" s="438"/>
      <c r="AV3" s="438" t="str">
        <f t="shared" si="0"/>
        <v>Территория действия тарифа</v>
      </c>
      <c r="AW3" s="438"/>
      <c r="AX3" s="438"/>
      <c r="AY3" s="1083">
        <v>0</v>
      </c>
    </row>
    <row r="4" spans="1:51" ht="23.25" hidden="1" customHeight="1">
      <c r="A4" s="1291"/>
      <c r="B4" s="1291"/>
      <c r="C4" s="1291"/>
      <c r="D4" s="1291"/>
      <c r="E4" s="2195"/>
      <c r="F4" s="2195"/>
      <c r="G4" s="2194">
        <v>1</v>
      </c>
      <c r="H4" s="1291"/>
      <c r="I4" s="1291"/>
      <c r="J4" s="1291"/>
      <c r="K4" s="1291"/>
      <c r="L4" s="1292"/>
      <c r="M4" s="1293"/>
      <c r="N4" s="1293"/>
      <c r="O4" s="1293"/>
      <c r="P4" s="292"/>
      <c r="Q4" s="290"/>
      <c r="R4" s="291"/>
      <c r="S4" s="1421" t="e">
        <f>INDEX(PT_DIFFERENTIATION_NUM_CS,MATCH(C4,PT_DIFFERENTIATION_CS_ID,0))</f>
        <v>#N/A</v>
      </c>
      <c r="T4" s="247" t="s">
        <v>528</v>
      </c>
      <c r="U4" s="238"/>
      <c r="V4" s="2188"/>
      <c r="W4" s="2189"/>
      <c r="X4" s="2189"/>
      <c r="Y4" s="2189"/>
      <c r="Z4" s="2189"/>
      <c r="AA4" s="2189"/>
      <c r="AB4" s="2189"/>
      <c r="AC4" s="2189"/>
      <c r="AD4" s="2189"/>
      <c r="AE4" s="2189"/>
      <c r="AF4" s="2190"/>
      <c r="AG4" s="2188" t="e">
        <f>INDEX(PT_DIFFERENTIATION_CS,MATCH(C4,PT_DIFFERENTIATION_CS_ID,0))</f>
        <v>#N/A</v>
      </c>
      <c r="AH4" s="2189"/>
      <c r="AI4" s="2189"/>
      <c r="AJ4" s="2189"/>
      <c r="AK4" s="2189"/>
      <c r="AL4" s="2189"/>
      <c r="AM4" s="2189"/>
      <c r="AN4" s="2189"/>
      <c r="AO4" s="2189"/>
      <c r="AP4" s="2189"/>
      <c r="AQ4" s="2189"/>
      <c r="AR4" s="2190"/>
      <c r="AS4" s="1186" t="s">
        <v>529</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95"/>
      <c r="F5" s="2195"/>
      <c r="G5" s="2195"/>
      <c r="H5" s="2195"/>
      <c r="I5" s="2196" t="e">
        <f>S4&amp;".1"</f>
        <v>#N/A</v>
      </c>
      <c r="J5" s="1291"/>
      <c r="K5" s="1291"/>
      <c r="L5" s="1292"/>
      <c r="P5" s="2198">
        <v>1</v>
      </c>
      <c r="Q5" s="1409"/>
      <c r="R5" s="294"/>
      <c r="S5" s="1421" t="e">
        <f>$I5</f>
        <v>#N/A</v>
      </c>
      <c r="T5" s="223" t="s">
        <v>481</v>
      </c>
      <c r="U5" s="238"/>
      <c r="V5" s="2262"/>
      <c r="W5" s="2263"/>
      <c r="X5" s="2263"/>
      <c r="Y5" s="2263"/>
      <c r="Z5" s="2263"/>
      <c r="AA5" s="2263"/>
      <c r="AB5" s="2263"/>
      <c r="AC5" s="2263"/>
      <c r="AD5" s="2263"/>
      <c r="AE5" s="2263"/>
      <c r="AF5" s="2264"/>
      <c r="AG5" s="2265"/>
      <c r="AH5" s="2266"/>
      <c r="AI5" s="2266"/>
      <c r="AJ5" s="2266"/>
      <c r="AK5" s="2266"/>
      <c r="AL5" s="2266"/>
      <c r="AM5" s="2266"/>
      <c r="AN5" s="2266"/>
      <c r="AO5" s="2266"/>
      <c r="AP5" s="2266"/>
      <c r="AQ5" s="2266"/>
      <c r="AR5" s="2267"/>
      <c r="AS5" s="1186" t="s">
        <v>482</v>
      </c>
      <c r="AU5" s="438"/>
      <c r="AV5" s="438" t="str">
        <f t="shared" si="0"/>
        <v>Наименование признака дифференциации</v>
      </c>
      <c r="AW5" s="438"/>
      <c r="AX5" s="438"/>
      <c r="AY5" s="1083">
        <v>0</v>
      </c>
    </row>
    <row r="6" spans="1:51" ht="23.25" hidden="1" customHeight="1">
      <c r="A6" s="1291"/>
      <c r="B6" s="1291"/>
      <c r="C6" s="1291"/>
      <c r="D6" s="1291"/>
      <c r="E6" s="2195"/>
      <c r="F6" s="2195"/>
      <c r="G6" s="2195"/>
      <c r="H6" s="2195"/>
      <c r="I6" s="2197"/>
      <c r="J6" s="2196" t="e">
        <f>I5&amp;".1"</f>
        <v>#N/A</v>
      </c>
      <c r="K6" s="1291"/>
      <c r="L6" s="1292" t="s">
        <v>404</v>
      </c>
      <c r="P6" s="2198"/>
      <c r="Q6" s="2198">
        <v>1</v>
      </c>
      <c r="R6" s="295"/>
      <c r="S6" s="1421" t="e">
        <f>$J6</f>
        <v>#N/A</v>
      </c>
      <c r="T6" s="224" t="s">
        <v>405</v>
      </c>
      <c r="U6" s="238"/>
      <c r="V6" s="2182"/>
      <c r="W6" s="2183"/>
      <c r="X6" s="2183"/>
      <c r="Y6" s="2183"/>
      <c r="Z6" s="2183"/>
      <c r="AA6" s="2183"/>
      <c r="AB6" s="2183"/>
      <c r="AC6" s="2183"/>
      <c r="AD6" s="2183"/>
      <c r="AE6" s="2183"/>
      <c r="AF6" s="2184"/>
      <c r="AG6" s="2182"/>
      <c r="AH6" s="2183"/>
      <c r="AI6" s="2183"/>
      <c r="AJ6" s="2183"/>
      <c r="AK6" s="2183"/>
      <c r="AL6" s="2183"/>
      <c r="AM6" s="2183"/>
      <c r="AN6" s="2183"/>
      <c r="AO6" s="2183"/>
      <c r="AP6" s="2183"/>
      <c r="AQ6" s="2183"/>
      <c r="AR6" s="2184"/>
      <c r="AS6" s="1235" t="s">
        <v>483</v>
      </c>
      <c r="AU6" s="438"/>
      <c r="AV6" s="438" t="str">
        <f t="shared" si="0"/>
        <v>Группа потребителей</v>
      </c>
      <c r="AW6" s="438"/>
      <c r="AX6" s="438"/>
      <c r="AY6" s="1083">
        <v>0</v>
      </c>
    </row>
    <row r="7" spans="1:51" ht="23.25" hidden="1" customHeight="1">
      <c r="A7" s="1291"/>
      <c r="B7" s="1291"/>
      <c r="C7" s="1291"/>
      <c r="D7" s="1291"/>
      <c r="E7" s="2195"/>
      <c r="F7" s="2195"/>
      <c r="G7" s="2195"/>
      <c r="H7" s="2195"/>
      <c r="I7" s="2197"/>
      <c r="J7" s="2197"/>
      <c r="K7" s="2196" t="e">
        <f>J6&amp;".1"</f>
        <v>#N/A</v>
      </c>
      <c r="L7" s="1292"/>
      <c r="P7" s="2198"/>
      <c r="Q7" s="2198"/>
      <c r="R7" s="295">
        <v>1</v>
      </c>
      <c r="S7" s="1421" t="e">
        <f>$K7</f>
        <v>#N/A</v>
      </c>
      <c r="T7" s="1365"/>
      <c r="U7" s="238"/>
      <c r="V7" s="689"/>
      <c r="W7" s="689"/>
      <c r="X7" s="689"/>
      <c r="Y7" s="689"/>
      <c r="Z7" s="689"/>
      <c r="AA7" s="689"/>
      <c r="AB7" s="689"/>
      <c r="AC7" s="2199"/>
      <c r="AD7" s="2076" t="s">
        <v>65</v>
      </c>
      <c r="AE7" s="2199"/>
      <c r="AF7" s="2076" t="s">
        <v>65</v>
      </c>
      <c r="AG7" s="689"/>
      <c r="AH7" s="689"/>
      <c r="AI7" s="689"/>
      <c r="AJ7" s="689"/>
      <c r="AK7" s="689"/>
      <c r="AL7" s="689"/>
      <c r="AM7" s="689"/>
      <c r="AN7" s="2199"/>
      <c r="AO7" s="2076" t="s">
        <v>65</v>
      </c>
      <c r="AP7" s="2201"/>
      <c r="AQ7" s="2076" t="s">
        <v>65</v>
      </c>
      <c r="AR7" s="1366"/>
      <c r="AS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95"/>
      <c r="F8" s="2195"/>
      <c r="G8" s="2195"/>
      <c r="H8" s="2195"/>
      <c r="I8" s="2197"/>
      <c r="J8" s="2197"/>
      <c r="K8" s="2196"/>
      <c r="L8" s="1292"/>
      <c r="P8" s="2198"/>
      <c r="Q8" s="2198"/>
      <c r="R8" s="295"/>
      <c r="S8" s="1418"/>
      <c r="T8" s="238"/>
      <c r="U8" s="238"/>
      <c r="V8" s="263"/>
      <c r="W8" s="263"/>
      <c r="X8" s="263"/>
      <c r="Y8" s="263"/>
      <c r="Z8" s="263"/>
      <c r="AA8" s="263"/>
      <c r="AB8" s="263"/>
      <c r="AC8" s="2200"/>
      <c r="AD8" s="2076"/>
      <c r="AE8" s="2200"/>
      <c r="AF8" s="2076"/>
      <c r="AG8" s="263"/>
      <c r="AH8" s="263"/>
      <c r="AI8" s="263"/>
      <c r="AJ8" s="263"/>
      <c r="AK8" s="263"/>
      <c r="AL8" s="263"/>
      <c r="AM8" s="263"/>
      <c r="AN8" s="2200"/>
      <c r="AO8" s="2076"/>
      <c r="AP8" s="2202"/>
      <c r="AQ8" s="2076"/>
      <c r="AR8" s="1367"/>
      <c r="AS8" s="2268"/>
      <c r="AU8" s="438"/>
      <c r="AV8" s="438" t="str">
        <f t="shared" si="0"/>
        <v/>
      </c>
      <c r="AW8" s="438"/>
      <c r="AX8" s="438"/>
      <c r="AY8" s="1083">
        <v>0</v>
      </c>
    </row>
    <row r="9" spans="1:51" ht="21" hidden="1" customHeight="1">
      <c r="A9" s="1291"/>
      <c r="B9" s="1291"/>
      <c r="C9" s="1291"/>
      <c r="D9" s="1291"/>
      <c r="E9" s="2195"/>
      <c r="F9" s="2195"/>
      <c r="G9" s="2195"/>
      <c r="H9" s="2195"/>
      <c r="I9" s="2197"/>
      <c r="J9" s="2196"/>
      <c r="K9" s="1291"/>
      <c r="L9" s="1292"/>
      <c r="P9" s="2198"/>
      <c r="Q9" s="2198"/>
      <c r="R9" s="294"/>
      <c r="S9" s="1206"/>
      <c r="T9" s="225" t="s">
        <v>484</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6" t="s">
        <v>485</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95"/>
      <c r="F10" s="2195"/>
      <c r="G10" s="2195"/>
      <c r="H10" s="2195"/>
      <c r="I10" s="2196"/>
      <c r="J10" s="1291"/>
      <c r="K10" s="1291"/>
      <c r="L10" s="1292"/>
      <c r="P10" s="2198"/>
      <c r="Q10" s="1409"/>
      <c r="R10" s="294"/>
      <c r="S10" s="1206"/>
      <c r="T10" s="303" t="s">
        <v>410</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95"/>
      <c r="F12" s="219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8"/>
      <c r="AN15" s="2192"/>
      <c r="AO15" s="2191" t="s">
        <v>65</v>
      </c>
      <c r="AP15" s="2192"/>
      <c r="AQ15" s="2191" t="s">
        <v>65</v>
      </c>
      <c r="AY15" s="1083">
        <v>0</v>
      </c>
    </row>
    <row r="16" spans="1:51" ht="14.25" hidden="1" customHeight="1">
      <c r="AG16" s="1288"/>
      <c r="AH16" s="1288"/>
      <c r="AI16" s="1288"/>
      <c r="AJ16" s="1288"/>
      <c r="AK16" s="1288"/>
      <c r="AL16" s="1288"/>
      <c r="AM16" s="1288"/>
      <c r="AN16" s="2191"/>
      <c r="AO16" s="2191"/>
      <c r="AP16" s="2191"/>
      <c r="AQ16" s="2191"/>
      <c r="AY16" s="1083">
        <v>0</v>
      </c>
    </row>
    <row r="17" spans="1:51" ht="14.25" hidden="1" customHeight="1">
      <c r="AQ17" s="265"/>
      <c r="AY17" s="1083">
        <v>0</v>
      </c>
    </row>
    <row r="18" spans="1:51" s="1294" customFormat="1" ht="22.5" hidden="1" customHeight="1">
      <c r="L18" s="1406"/>
      <c r="M18" s="1290"/>
      <c r="N18" s="1290"/>
      <c r="O18" s="1295" t="s">
        <v>415</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416</v>
      </c>
      <c r="P20" s="1290"/>
      <c r="Q20" s="1370"/>
      <c r="R20" s="1370"/>
      <c r="S20" s="667"/>
      <c r="T20" s="1088" t="s">
        <v>417</v>
      </c>
      <c r="AD20" s="124" t="s">
        <v>418</v>
      </c>
      <c r="AF20" s="124" t="s">
        <v>419</v>
      </c>
      <c r="AG20" s="1088" t="s">
        <v>417</v>
      </c>
      <c r="AO20" s="124" t="s">
        <v>420</v>
      </c>
      <c r="AQ20" s="124" t="s">
        <v>419</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C23" s="447"/>
      <c r="AD23" s="447"/>
      <c r="AE23" s="447"/>
      <c r="AF23" s="447"/>
      <c r="AG23" s="447"/>
      <c r="AM23" s="447"/>
      <c r="AN23" s="447"/>
      <c r="AO23" s="447"/>
      <c r="AP23" s="447"/>
      <c r="AQ23" s="447"/>
      <c r="AY23" s="1083">
        <v>14</v>
      </c>
    </row>
    <row r="24" spans="1:51" ht="26.25" customHeight="1">
      <c r="Q24" s="314"/>
      <c r="R24" s="314"/>
      <c r="S24" s="217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2175"/>
      <c r="AJ24" s="2175"/>
      <c r="AK24" s="2175"/>
      <c r="AL24" s="2175"/>
      <c r="AM24" s="2175"/>
      <c r="AN24" s="2175"/>
      <c r="AO24" s="2175"/>
      <c r="AP24" s="2175"/>
      <c r="AQ24" s="1171"/>
      <c r="AY24" s="1083">
        <v>25</v>
      </c>
    </row>
    <row r="25" spans="1:51"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2147"/>
      <c r="AJ25" s="2147"/>
      <c r="AK25" s="2147"/>
      <c r="AL25" s="2147"/>
      <c r="AM25" s="2147"/>
      <c r="AN25" s="2147"/>
      <c r="AO25" s="2147"/>
      <c r="AP25" s="2147"/>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187"/>
      <c r="AC27" s="2187"/>
      <c r="AD27" s="2187"/>
      <c r="AE27" s="2187"/>
      <c r="AF27" s="264"/>
      <c r="AG27" s="2187" t="str">
        <f>IF(TITLE_NAME_OR_PR_CHANGE="",IF(TITLE_NAME_OR_PR="","",TITLE_NAME_OR_PR),TITLE_NAME_OR_PR_CHANGE)</f>
        <v/>
      </c>
      <c r="AH27" s="2187"/>
      <c r="AI27" s="2187"/>
      <c r="AJ27" s="2187"/>
      <c r="AK27" s="2187"/>
      <c r="AL27" s="2187"/>
      <c r="AM27" s="2187"/>
      <c r="AN27" s="2187"/>
      <c r="AO27" s="2187"/>
      <c r="AP27" s="2187"/>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186"/>
      <c r="AC28" s="2186"/>
      <c r="AD28" s="2186"/>
      <c r="AE28" s="2186"/>
      <c r="AF28" s="264"/>
      <c r="AG28" s="2186" t="str">
        <f>IF(TITLE_DATE_PR_CHANGE="",IF(TITLE_DATE_PR="","",TITLE_DATE_PR),TITLE_DATE_PR_CHANGE)</f>
        <v/>
      </c>
      <c r="AH28" s="2186"/>
      <c r="AI28" s="2186"/>
      <c r="AJ28" s="2186"/>
      <c r="AK28" s="2186"/>
      <c r="AL28" s="2186"/>
      <c r="AM28" s="2186"/>
      <c r="AN28" s="2186"/>
      <c r="AO28" s="2186"/>
      <c r="AP28" s="2186"/>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187"/>
      <c r="AC29" s="2187"/>
      <c r="AD29" s="2187"/>
      <c r="AE29" s="2187"/>
      <c r="AF29" s="264"/>
      <c r="AG29" s="2187" t="str">
        <f>IF(TITLE_NUMBER_PR_CHANGE="",IF(TITLE_NUMBER_PR="","",TITLE_NUMBER_PR),TITLE_NUMBER_PR_CHANGE)</f>
        <v/>
      </c>
      <c r="AH29" s="2187"/>
      <c r="AI29" s="2187"/>
      <c r="AJ29" s="2187"/>
      <c r="AK29" s="2187"/>
      <c r="AL29" s="2187"/>
      <c r="AM29" s="2187"/>
      <c r="AN29" s="2187"/>
      <c r="AO29" s="2187"/>
      <c r="AP29" s="2187"/>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187"/>
      <c r="AC30" s="2187"/>
      <c r="AD30" s="2187"/>
      <c r="AE30" s="2187"/>
      <c r="AF30" s="264"/>
      <c r="AG30" s="2187" t="str">
        <f>IF(TITLE_IST_PUB_CHANGE="",IF(TITLE_IST_PUB="","",TITLE_IST_PUB),TITLE_IST_PUB_CHANGE)</f>
        <v/>
      </c>
      <c r="AH30" s="2187"/>
      <c r="AI30" s="2187"/>
      <c r="AJ30" s="2187"/>
      <c r="AK30" s="2187"/>
      <c r="AL30" s="2187"/>
      <c r="AM30" s="2187"/>
      <c r="AN30" s="2187"/>
      <c r="AO30" s="2187"/>
      <c r="AP30" s="2187"/>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186"/>
      <c r="AC32" s="2186"/>
      <c r="AD32" s="2186"/>
      <c r="AE32" s="2186"/>
      <c r="AF32" s="264"/>
      <c r="AG32" s="2186" t="str">
        <f>IF(TITLE_DATE_PR_CHANGE="",IF(TITLE_DATE_PR="","",TITLE_DATE_PR),TITLE_DATE_PR_CHANGE)</f>
        <v/>
      </c>
      <c r="AH32" s="2186"/>
      <c r="AI32" s="2186"/>
      <c r="AJ32" s="2186"/>
      <c r="AK32" s="2186"/>
      <c r="AL32" s="2186"/>
      <c r="AM32" s="2186"/>
      <c r="AN32" s="2186"/>
      <c r="AO32" s="2186"/>
      <c r="AP32" s="2186"/>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187"/>
      <c r="AC33" s="2187"/>
      <c r="AD33" s="2187"/>
      <c r="AE33" s="2187"/>
      <c r="AF33" s="264"/>
      <c r="AG33" s="2187" t="str">
        <f>IF(TITLE_NUMBER_PR_CHANGE="",IF(TITLE_NUMBER_PR="","",TITLE_NUMBER_PR),TITLE_NUMBER_PR_CHANGE)</f>
        <v/>
      </c>
      <c r="AH33" s="2187"/>
      <c r="AI33" s="2187"/>
      <c r="AJ33" s="2187"/>
      <c r="AK33" s="2187"/>
      <c r="AL33" s="2187"/>
      <c r="AM33" s="2187"/>
      <c r="AN33" s="2187"/>
      <c r="AO33" s="2187"/>
      <c r="AP33" s="2187"/>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425</v>
      </c>
      <c r="AG34" s="264"/>
      <c r="AH34" s="1563"/>
      <c r="AI34" s="1563"/>
      <c r="AJ34" s="1563"/>
      <c r="AK34" s="1563"/>
      <c r="AL34" s="1563"/>
      <c r="AM34" s="264"/>
      <c r="AN34" s="264"/>
      <c r="AO34" s="264"/>
      <c r="AP34" s="264"/>
      <c r="AQ34" s="216" t="s">
        <v>425</v>
      </c>
      <c r="AT34" s="306"/>
      <c r="AU34" s="306"/>
      <c r="AV34" s="306"/>
      <c r="AW34" s="306"/>
      <c r="AX34" s="306"/>
      <c r="AY34" s="356">
        <v>1</v>
      </c>
    </row>
    <row r="35" spans="1:51" ht="14.65" customHeight="1">
      <c r="Q35" s="314"/>
      <c r="R35" s="314"/>
      <c r="S35" s="1203"/>
      <c r="T35" s="301"/>
      <c r="U35" s="1172"/>
      <c r="V35" s="2206"/>
      <c r="W35" s="2206"/>
      <c r="X35" s="2206"/>
      <c r="Y35" s="2206"/>
      <c r="Z35" s="2206"/>
      <c r="AA35" s="2206"/>
      <c r="AB35" s="2206"/>
      <c r="AC35" s="2206"/>
      <c r="AD35" s="2206"/>
      <c r="AE35" s="2206"/>
      <c r="AF35" s="2206"/>
      <c r="AG35" s="2206"/>
      <c r="AH35" s="2206"/>
      <c r="AI35" s="2206"/>
      <c r="AJ35" s="2206"/>
      <c r="AK35" s="2206"/>
      <c r="AL35" s="2206"/>
      <c r="AM35" s="2206"/>
      <c r="AN35" s="2206"/>
      <c r="AO35" s="2206"/>
      <c r="AP35" s="2206"/>
      <c r="AQ35" s="2206"/>
      <c r="AY35" s="1083">
        <v>14</v>
      </c>
    </row>
    <row r="36" spans="1:51"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c r="AL36" s="2066"/>
      <c r="AM36" s="2066"/>
      <c r="AN36" s="2066"/>
      <c r="AO36" s="2066"/>
      <c r="AP36" s="2066"/>
      <c r="AQ36" s="2066"/>
      <c r="AR36" s="2066"/>
      <c r="AS36" s="2066" t="s">
        <v>299</v>
      </c>
      <c r="AY36" s="1083">
        <v>14</v>
      </c>
    </row>
    <row r="37" spans="1:51" ht="14.65" customHeight="1">
      <c r="Q37" s="314"/>
      <c r="R37" s="314"/>
      <c r="S37" s="2207" t="s">
        <v>87</v>
      </c>
      <c r="T37" s="2155" t="s">
        <v>426</v>
      </c>
      <c r="U37" s="239"/>
      <c r="V37" s="2208" t="s">
        <v>427</v>
      </c>
      <c r="W37" s="2224"/>
      <c r="X37" s="2224"/>
      <c r="Y37" s="2224"/>
      <c r="Z37" s="2224"/>
      <c r="AA37" s="2224"/>
      <c r="AB37" s="2224"/>
      <c r="AC37" s="2209"/>
      <c r="AD37" s="2209"/>
      <c r="AE37" s="2210"/>
      <c r="AF37" s="2211" t="s">
        <v>428</v>
      </c>
      <c r="AG37" s="2208" t="s">
        <v>427</v>
      </c>
      <c r="AH37" s="2209"/>
      <c r="AI37" s="2209"/>
      <c r="AJ37" s="2209"/>
      <c r="AK37" s="2209"/>
      <c r="AL37" s="2209"/>
      <c r="AM37" s="2209"/>
      <c r="AN37" s="2209"/>
      <c r="AO37" s="2209"/>
      <c r="AP37" s="2210"/>
      <c r="AQ37" s="2211" t="s">
        <v>429</v>
      </c>
      <c r="AR37" s="2214" t="s">
        <v>430</v>
      </c>
      <c r="AS37" s="2066"/>
      <c r="AY37" s="1083">
        <v>14</v>
      </c>
    </row>
    <row r="38" spans="1:51" ht="19.899999999999999" customHeight="1">
      <c r="Q38" s="314"/>
      <c r="R38" s="314"/>
      <c r="S38" s="2207"/>
      <c r="T38" s="2155"/>
      <c r="U38" s="962"/>
      <c r="V38" s="2066" t="s">
        <v>530</v>
      </c>
      <c r="W38" s="2278" t="s">
        <v>531</v>
      </c>
      <c r="X38" s="2278"/>
      <c r="Y38" s="2278"/>
      <c r="Z38" s="2278" t="s">
        <v>532</v>
      </c>
      <c r="AA38" s="2278"/>
      <c r="AB38" s="2278"/>
      <c r="AC38" s="2126" t="s">
        <v>434</v>
      </c>
      <c r="AD38" s="2236"/>
      <c r="AE38" s="2127"/>
      <c r="AF38" s="2212"/>
      <c r="AG38" s="2066" t="s">
        <v>530</v>
      </c>
      <c r="AH38" s="2278" t="s">
        <v>531</v>
      </c>
      <c r="AI38" s="2278"/>
      <c r="AJ38" s="2278"/>
      <c r="AK38" s="2278" t="s">
        <v>532</v>
      </c>
      <c r="AL38" s="2278"/>
      <c r="AM38" s="2278"/>
      <c r="AN38" s="2126" t="s">
        <v>434</v>
      </c>
      <c r="AO38" s="2236"/>
      <c r="AP38" s="2127"/>
      <c r="AQ38" s="2212"/>
      <c r="AR38" s="2215"/>
      <c r="AS38" s="2066"/>
      <c r="AY38" s="1083">
        <v>19</v>
      </c>
    </row>
    <row r="39" spans="1:51" s="1563" customFormat="1" ht="19.899999999999999" customHeight="1">
      <c r="A39" s="1294"/>
      <c r="B39" s="1294"/>
      <c r="C39" s="1294"/>
      <c r="D39" s="1294"/>
      <c r="E39" s="1294"/>
      <c r="F39" s="1294"/>
      <c r="G39" s="1294"/>
      <c r="H39" s="1294"/>
      <c r="I39" s="1294"/>
      <c r="J39" s="1294"/>
      <c r="K39" s="1294"/>
      <c r="L39" s="1874"/>
      <c r="M39" s="1290"/>
      <c r="N39" s="1290"/>
      <c r="O39" s="1290"/>
      <c r="P39" s="1888"/>
      <c r="Q39" s="314"/>
      <c r="R39" s="314"/>
      <c r="S39" s="2207"/>
      <c r="T39" s="2155"/>
      <c r="U39" s="962"/>
      <c r="V39" s="2066"/>
      <c r="W39" s="2278" t="s">
        <v>533</v>
      </c>
      <c r="X39" s="2278" t="s">
        <v>534</v>
      </c>
      <c r="Y39" s="2278"/>
      <c r="Z39" s="2278" t="s">
        <v>535</v>
      </c>
      <c r="AA39" s="2278" t="s">
        <v>534</v>
      </c>
      <c r="AB39" s="2278"/>
      <c r="AC39" s="2131"/>
      <c r="AD39" s="2237"/>
      <c r="AE39" s="2132"/>
      <c r="AF39" s="2212"/>
      <c r="AG39" s="2066"/>
      <c r="AH39" s="2278" t="s">
        <v>533</v>
      </c>
      <c r="AI39" s="2278" t="s">
        <v>534</v>
      </c>
      <c r="AJ39" s="2278"/>
      <c r="AK39" s="2278" t="s">
        <v>535</v>
      </c>
      <c r="AL39" s="2278" t="s">
        <v>534</v>
      </c>
      <c r="AM39" s="2278"/>
      <c r="AN39" s="2131"/>
      <c r="AO39" s="2237"/>
      <c r="AP39" s="2132"/>
      <c r="AQ39" s="2212"/>
      <c r="AR39" s="2215"/>
      <c r="AS39" s="2066"/>
      <c r="AT39" s="1564"/>
      <c r="AU39" s="1564"/>
      <c r="AV39" s="1564"/>
      <c r="AW39" s="1564"/>
      <c r="AX39" s="1564"/>
      <c r="AY39" s="1559">
        <v>19</v>
      </c>
    </row>
    <row r="40" spans="1:51" ht="61.9" customHeight="1">
      <c r="A40" s="1298"/>
      <c r="B40" s="1298" t="s">
        <v>135</v>
      </c>
      <c r="C40" s="1298" t="s">
        <v>136</v>
      </c>
      <c r="D40" s="1298" t="s">
        <v>137</v>
      </c>
      <c r="E40" s="1292" t="s">
        <v>435</v>
      </c>
      <c r="F40" s="1292" t="s">
        <v>436</v>
      </c>
      <c r="G40" s="1292" t="s">
        <v>437</v>
      </c>
      <c r="H40" s="1292"/>
      <c r="I40" s="1292" t="s">
        <v>488</v>
      </c>
      <c r="J40" s="1292" t="s">
        <v>440</v>
      </c>
      <c r="K40" s="1292" t="s">
        <v>489</v>
      </c>
      <c r="L40" s="1292" t="s">
        <v>416</v>
      </c>
      <c r="Q40" s="314"/>
      <c r="R40" s="314"/>
      <c r="S40" s="2207"/>
      <c r="T40" s="2155"/>
      <c r="U40" s="240"/>
      <c r="V40" s="2066"/>
      <c r="W40" s="2278"/>
      <c r="X40" s="1906" t="s">
        <v>536</v>
      </c>
      <c r="Y40" s="1906" t="s">
        <v>537</v>
      </c>
      <c r="Z40" s="2278"/>
      <c r="AA40" s="1906" t="s">
        <v>538</v>
      </c>
      <c r="AB40" s="1906" t="s">
        <v>539</v>
      </c>
      <c r="AC40" s="1417" t="s">
        <v>444</v>
      </c>
      <c r="AD40" s="2160" t="s">
        <v>445</v>
      </c>
      <c r="AE40" s="2174"/>
      <c r="AF40" s="2213"/>
      <c r="AG40" s="2066"/>
      <c r="AH40" s="2278"/>
      <c r="AI40" s="1906" t="s">
        <v>536</v>
      </c>
      <c r="AJ40" s="1906" t="s">
        <v>537</v>
      </c>
      <c r="AK40" s="2278"/>
      <c r="AL40" s="1906" t="s">
        <v>538</v>
      </c>
      <c r="AM40" s="1906" t="s">
        <v>539</v>
      </c>
      <c r="AN40" s="1417" t="s">
        <v>444</v>
      </c>
      <c r="AO40" s="2160" t="s">
        <v>445</v>
      </c>
      <c r="AP40" s="2174"/>
      <c r="AQ40" s="2213"/>
      <c r="AR40" s="2216"/>
      <c r="AS40" s="2066"/>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269"/>
      <c r="X41" s="1269"/>
      <c r="Y41" s="1269"/>
      <c r="Z41" s="1269"/>
      <c r="AA41" s="1269"/>
      <c r="AB41" s="1269"/>
      <c r="AC41" s="1410">
        <f ca="1">OFFSET(AC41,0,-1)+1</f>
        <v>1</v>
      </c>
      <c r="AD41" s="2205">
        <f ca="1">OFFSET(AD41,0,-1)+1</f>
        <v>2</v>
      </c>
      <c r="AE41" s="2205"/>
      <c r="AF41" s="1410">
        <f ca="1">OFFSET(AF41,0,-2)+1</f>
        <v>3</v>
      </c>
      <c r="AG41" s="1410">
        <f ca="1">OFFSET(AG41,0,-1)+1</f>
        <v>4</v>
      </c>
      <c r="AH41" s="1879"/>
      <c r="AI41" s="1879"/>
      <c r="AJ41" s="1879"/>
      <c r="AK41" s="1879"/>
      <c r="AL41" s="1879"/>
      <c r="AM41" s="1410">
        <f ca="1">OFFSET(AM41,0,-1)+1</f>
        <v>1</v>
      </c>
      <c r="AN41" s="1410">
        <f ca="1">OFFSET(AN41,0,-1)+1</f>
        <v>2</v>
      </c>
      <c r="AO41" s="2205">
        <f ca="1">OFFSET(AO41,0,-1)+1</f>
        <v>3</v>
      </c>
      <c r="AP41" s="2205"/>
      <c r="AQ41" s="1410">
        <f ca="1">OFFSET(AQ41,0,-2)+1</f>
        <v>4</v>
      </c>
      <c r="AR41" s="1173">
        <f ca="1">OFFSET(AR41,0,-1)</f>
        <v>4</v>
      </c>
      <c r="AS41" s="1410">
        <f ca="1">OFFSET(AS41,0,-1)+1</f>
        <v>5</v>
      </c>
      <c r="AT41" s="449"/>
      <c r="AU41" s="449"/>
      <c r="AV41" s="449"/>
      <c r="AW41" s="449"/>
      <c r="AX41" s="449"/>
      <c r="AY41" s="434">
        <v>0</v>
      </c>
    </row>
    <row r="42" spans="1:51" ht="24" customHeight="1">
      <c r="A42" s="1291" t="s">
        <v>249</v>
      </c>
      <c r="B42" s="1291"/>
      <c r="C42" s="1291"/>
      <c r="D42" s="1291"/>
      <c r="E42" s="2194">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188"/>
      <c r="W42" s="2189"/>
      <c r="X42" s="2189"/>
      <c r="Y42" s="2189"/>
      <c r="Z42" s="2189"/>
      <c r="AA42" s="2189"/>
      <c r="AB42" s="2189"/>
      <c r="AC42" s="2189"/>
      <c r="AD42" s="2189"/>
      <c r="AE42" s="2189"/>
      <c r="AF42" s="2190"/>
      <c r="AG42" s="2188" t="str">
        <f>INDEX(PT_DIFFERENTIATION_NTAR,MATCH(A42,PT_DIFFERENTIATION_NTAR_ID,0))</f>
        <v/>
      </c>
      <c r="AH42" s="2189"/>
      <c r="AI42" s="2189"/>
      <c r="AJ42" s="2189"/>
      <c r="AK42" s="2189"/>
      <c r="AL42" s="2189"/>
      <c r="AM42" s="2189"/>
      <c r="AN42" s="2189"/>
      <c r="AO42" s="2189"/>
      <c r="AP42" s="2189"/>
      <c r="AQ42" s="2189"/>
      <c r="AR42" s="2190"/>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249</v>
      </c>
      <c r="B43" s="1291" t="s">
        <v>250</v>
      </c>
      <c r="C43" s="1291"/>
      <c r="D43" s="1291"/>
      <c r="E43" s="2195"/>
      <c r="F43" s="2194">
        <v>1</v>
      </c>
      <c r="G43" s="1291"/>
      <c r="H43" s="1291"/>
      <c r="I43" s="1291"/>
      <c r="J43" s="1291"/>
      <c r="K43" s="1291"/>
      <c r="L43" s="1292"/>
      <c r="M43" s="1293"/>
      <c r="N43" s="1293"/>
      <c r="O43" s="1293"/>
      <c r="P43" s="1415"/>
      <c r="Q43" s="290"/>
      <c r="R43" s="291"/>
      <c r="S43" s="1421" t="str">
        <f>INDEX(PT_DIFFERENTIATION_NUM_TER,MATCH(B43,PT_DIFFERENTIATION_TER_ID,0))</f>
        <v>.</v>
      </c>
      <c r="T43" s="246" t="s">
        <v>395</v>
      </c>
      <c r="U43" s="238"/>
      <c r="V43" s="2188"/>
      <c r="W43" s="2189"/>
      <c r="X43" s="2189"/>
      <c r="Y43" s="2189"/>
      <c r="Z43" s="2189"/>
      <c r="AA43" s="2189"/>
      <c r="AB43" s="2189"/>
      <c r="AC43" s="2189"/>
      <c r="AD43" s="2189"/>
      <c r="AE43" s="2189"/>
      <c r="AF43" s="2190"/>
      <c r="AG43" s="2188" t="str">
        <f>INDEX(PT_DIFFERENTIATION_TER,MATCH(B43,PT_DIFFERENTIATION_TER_ID,0))</f>
        <v/>
      </c>
      <c r="AH43" s="2189"/>
      <c r="AI43" s="2189"/>
      <c r="AJ43" s="2189"/>
      <c r="AK43" s="2189"/>
      <c r="AL43" s="2189"/>
      <c r="AM43" s="2189"/>
      <c r="AN43" s="2189"/>
      <c r="AO43" s="2189"/>
      <c r="AP43" s="2189"/>
      <c r="AQ43" s="2189"/>
      <c r="AR43" s="2190"/>
      <c r="AS43" s="1186" t="s">
        <v>396</v>
      </c>
      <c r="AU43" s="438"/>
      <c r="AV43" s="438" t="str">
        <f t="shared" si="1"/>
        <v>Территория действия тарифа</v>
      </c>
      <c r="AW43" s="438"/>
      <c r="AX43" s="438"/>
      <c r="AY43" s="1083">
        <v>23</v>
      </c>
    </row>
    <row r="44" spans="1:51" ht="24" customHeight="1">
      <c r="A44" s="1291" t="s">
        <v>249</v>
      </c>
      <c r="B44" s="1291" t="s">
        <v>250</v>
      </c>
      <c r="C44" s="1291" t="s">
        <v>251</v>
      </c>
      <c r="D44" s="1291"/>
      <c r="E44" s="2195"/>
      <c r="F44" s="2195"/>
      <c r="G44" s="2194">
        <v>1</v>
      </c>
      <c r="H44" s="1291"/>
      <c r="I44" s="1291"/>
      <c r="J44" s="1291"/>
      <c r="K44" s="1291"/>
      <c r="L44" s="1292"/>
      <c r="M44" s="1293"/>
      <c r="N44" s="1293"/>
      <c r="O44" s="1293"/>
      <c r="P44" s="292"/>
      <c r="Q44" s="290"/>
      <c r="R44" s="291"/>
      <c r="S44" s="1421" t="str">
        <f>INDEX(PT_DIFFERENTIATION_NUM_CS,MATCH(C44,PT_DIFFERENTIATION_CS_ID,0))</f>
        <v>..</v>
      </c>
      <c r="T44" s="247" t="s">
        <v>528</v>
      </c>
      <c r="U44" s="238"/>
      <c r="V44" s="2188"/>
      <c r="W44" s="2189"/>
      <c r="X44" s="2189"/>
      <c r="Y44" s="2189"/>
      <c r="Z44" s="2189"/>
      <c r="AA44" s="2189"/>
      <c r="AB44" s="2189"/>
      <c r="AC44" s="2189"/>
      <c r="AD44" s="2189"/>
      <c r="AE44" s="2189"/>
      <c r="AF44" s="2190"/>
      <c r="AG44" s="2188" t="str">
        <f>INDEX(PT_DIFFERENTIATION_CS,MATCH(C44,PT_DIFFERENTIATION_CS_ID,0))</f>
        <v/>
      </c>
      <c r="AH44" s="2189"/>
      <c r="AI44" s="2189"/>
      <c r="AJ44" s="2189"/>
      <c r="AK44" s="2189"/>
      <c r="AL44" s="2189"/>
      <c r="AM44" s="2189"/>
      <c r="AN44" s="2189"/>
      <c r="AO44" s="2189"/>
      <c r="AP44" s="2189"/>
      <c r="AQ44" s="2189"/>
      <c r="AR44" s="2190"/>
      <c r="AS44" s="1186" t="s">
        <v>529</v>
      </c>
      <c r="AU44" s="438"/>
      <c r="AV44" s="438" t="str">
        <f t="shared" si="1"/>
        <v>Наименование централизованной системы горячего водоснабжения</v>
      </c>
      <c r="AW44" s="438"/>
      <c r="AX44" s="438"/>
      <c r="AY44" s="1083">
        <v>23</v>
      </c>
    </row>
    <row r="45" spans="1:51" ht="24" customHeight="1">
      <c r="A45" s="1291" t="s">
        <v>249</v>
      </c>
      <c r="B45" s="1291" t="s">
        <v>250</v>
      </c>
      <c r="C45" s="1291" t="s">
        <v>251</v>
      </c>
      <c r="D45" s="1291" t="s">
        <v>540</v>
      </c>
      <c r="E45" s="2195"/>
      <c r="F45" s="2195"/>
      <c r="G45" s="2195"/>
      <c r="H45" s="2195"/>
      <c r="I45" s="2196" t="str">
        <f>S44&amp;".1"</f>
        <v>...1</v>
      </c>
      <c r="J45" s="1291"/>
      <c r="K45" s="1291"/>
      <c r="L45" s="1292"/>
      <c r="P45" s="2198">
        <v>1</v>
      </c>
      <c r="Q45" s="1409"/>
      <c r="R45" s="294"/>
      <c r="S45" s="1421" t="str">
        <f>$I45</f>
        <v>...1</v>
      </c>
      <c r="T45" s="223" t="s">
        <v>481</v>
      </c>
      <c r="U45" s="238"/>
      <c r="V45" s="2262"/>
      <c r="W45" s="2263"/>
      <c r="X45" s="2263"/>
      <c r="Y45" s="2263"/>
      <c r="Z45" s="2263"/>
      <c r="AA45" s="2263"/>
      <c r="AB45" s="2263"/>
      <c r="AC45" s="2263"/>
      <c r="AD45" s="2263"/>
      <c r="AE45" s="2263"/>
      <c r="AF45" s="2264"/>
      <c r="AG45" s="2265"/>
      <c r="AH45" s="2266"/>
      <c r="AI45" s="2266"/>
      <c r="AJ45" s="2266"/>
      <c r="AK45" s="2266"/>
      <c r="AL45" s="2266"/>
      <c r="AM45" s="2266"/>
      <c r="AN45" s="2266"/>
      <c r="AO45" s="2266"/>
      <c r="AP45" s="2266"/>
      <c r="AQ45" s="2266"/>
      <c r="AR45" s="2267"/>
      <c r="AS45" s="1186" t="s">
        <v>482</v>
      </c>
      <c r="AU45" s="438"/>
      <c r="AV45" s="438" t="str">
        <f t="shared" si="1"/>
        <v>Наименование признака дифференциации</v>
      </c>
      <c r="AW45" s="438"/>
      <c r="AX45" s="438"/>
      <c r="AY45" s="1083">
        <v>23</v>
      </c>
    </row>
    <row r="46" spans="1:51" ht="24" customHeight="1">
      <c r="A46" s="1291" t="s">
        <v>249</v>
      </c>
      <c r="B46" s="1291" t="s">
        <v>250</v>
      </c>
      <c r="C46" s="1291" t="s">
        <v>251</v>
      </c>
      <c r="D46" s="1291" t="s">
        <v>540</v>
      </c>
      <c r="E46" s="2195"/>
      <c r="F46" s="2195"/>
      <c r="G46" s="2195"/>
      <c r="H46" s="2195"/>
      <c r="I46" s="2197"/>
      <c r="J46" s="2196" t="str">
        <f>I45&amp;".1"</f>
        <v>...1.1</v>
      </c>
      <c r="K46" s="1291"/>
      <c r="L46" s="1292" t="s">
        <v>404</v>
      </c>
      <c r="P46" s="2198"/>
      <c r="Q46" s="2198">
        <v>1</v>
      </c>
      <c r="R46" s="295"/>
      <c r="S46" s="1421" t="str">
        <f>$J46</f>
        <v>...1.1</v>
      </c>
      <c r="T46" s="224" t="s">
        <v>405</v>
      </c>
      <c r="U46" s="238"/>
      <c r="V46" s="2182"/>
      <c r="W46" s="2183"/>
      <c r="X46" s="2183"/>
      <c r="Y46" s="2183"/>
      <c r="Z46" s="2183"/>
      <c r="AA46" s="2183"/>
      <c r="AB46" s="2183"/>
      <c r="AC46" s="2183"/>
      <c r="AD46" s="2183"/>
      <c r="AE46" s="2183"/>
      <c r="AF46" s="2184"/>
      <c r="AG46" s="2182"/>
      <c r="AH46" s="2183"/>
      <c r="AI46" s="2183"/>
      <c r="AJ46" s="2183"/>
      <c r="AK46" s="2183"/>
      <c r="AL46" s="2183"/>
      <c r="AM46" s="2183"/>
      <c r="AN46" s="2183"/>
      <c r="AO46" s="2183"/>
      <c r="AP46" s="2183"/>
      <c r="AQ46" s="2183"/>
      <c r="AR46" s="2184"/>
      <c r="AS46" s="1235" t="s">
        <v>483</v>
      </c>
      <c r="AU46" s="438"/>
      <c r="AV46" s="438" t="str">
        <f t="shared" si="1"/>
        <v>Группа потребителей</v>
      </c>
      <c r="AW46" s="438"/>
      <c r="AX46" s="438"/>
      <c r="AY46" s="1083">
        <v>23</v>
      </c>
    </row>
    <row r="47" spans="1:51" ht="24" customHeight="1">
      <c r="A47" s="1291" t="s">
        <v>249</v>
      </c>
      <c r="B47" s="1291" t="s">
        <v>250</v>
      </c>
      <c r="C47" s="1291" t="s">
        <v>251</v>
      </c>
      <c r="D47" s="1291" t="s">
        <v>540</v>
      </c>
      <c r="E47" s="2195"/>
      <c r="F47" s="2195"/>
      <c r="G47" s="2195"/>
      <c r="H47" s="2195"/>
      <c r="I47" s="2197"/>
      <c r="J47" s="2197"/>
      <c r="K47" s="2196" t="str">
        <f>J46&amp;".1"</f>
        <v>...1.1.1</v>
      </c>
      <c r="L47" s="1292"/>
      <c r="P47" s="2198"/>
      <c r="Q47" s="2198"/>
      <c r="R47" s="295">
        <v>1</v>
      </c>
      <c r="S47" s="1421" t="str">
        <f>$K47</f>
        <v>...1.1.1</v>
      </c>
      <c r="T47" s="1365"/>
      <c r="U47" s="238"/>
      <c r="V47" s="689"/>
      <c r="W47" s="689"/>
      <c r="X47" s="689"/>
      <c r="Y47" s="689"/>
      <c r="Z47" s="689"/>
      <c r="AA47" s="689"/>
      <c r="AB47" s="689"/>
      <c r="AC47" s="2192"/>
      <c r="AD47" s="2191" t="s">
        <v>65</v>
      </c>
      <c r="AE47" s="2192"/>
      <c r="AF47" s="2191" t="s">
        <v>65</v>
      </c>
      <c r="AG47" s="689"/>
      <c r="AH47" s="689"/>
      <c r="AI47" s="689"/>
      <c r="AJ47" s="689"/>
      <c r="AK47" s="689"/>
      <c r="AL47" s="689"/>
      <c r="AM47" s="689"/>
      <c r="AN47" s="2199"/>
      <c r="AO47" s="2076" t="s">
        <v>65</v>
      </c>
      <c r="AP47" s="2201"/>
      <c r="AQ47" s="2076" t="s">
        <v>19</v>
      </c>
      <c r="AR47" s="1366"/>
      <c r="AS4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249</v>
      </c>
      <c r="B48" s="1291" t="s">
        <v>250</v>
      </c>
      <c r="C48" s="1291" t="s">
        <v>251</v>
      </c>
      <c r="D48" s="1291" t="s">
        <v>540</v>
      </c>
      <c r="E48" s="2195"/>
      <c r="F48" s="2195"/>
      <c r="G48" s="2195"/>
      <c r="H48" s="2195"/>
      <c r="I48" s="2197"/>
      <c r="J48" s="2197"/>
      <c r="K48" s="2196"/>
      <c r="L48" s="1292"/>
      <c r="P48" s="2198"/>
      <c r="Q48" s="2198"/>
      <c r="R48" s="295"/>
      <c r="S48" s="1418"/>
      <c r="T48" s="238"/>
      <c r="U48" s="238"/>
      <c r="V48" s="1288"/>
      <c r="W48" s="1288"/>
      <c r="X48" s="1288"/>
      <c r="Y48" s="1288"/>
      <c r="Z48" s="1288"/>
      <c r="AA48" s="1288"/>
      <c r="AB48" s="1288"/>
      <c r="AC48" s="2191"/>
      <c r="AD48" s="2191"/>
      <c r="AE48" s="2191"/>
      <c r="AF48" s="2191"/>
      <c r="AG48" s="263"/>
      <c r="AH48" s="263"/>
      <c r="AI48" s="263"/>
      <c r="AJ48" s="263"/>
      <c r="AK48" s="263"/>
      <c r="AL48" s="263"/>
      <c r="AM48" s="263"/>
      <c r="AN48" s="2200"/>
      <c r="AO48" s="2076"/>
      <c r="AP48" s="2202"/>
      <c r="AQ48" s="2076"/>
      <c r="AR48" s="1367"/>
      <c r="AS48" s="2268"/>
      <c r="AU48" s="438"/>
      <c r="AV48" s="438" t="str">
        <f t="shared" si="1"/>
        <v/>
      </c>
      <c r="AW48" s="438"/>
      <c r="AX48" s="438"/>
      <c r="AY48" s="1083">
        <v>0</v>
      </c>
    </row>
    <row r="49" spans="1:51" ht="21" customHeight="1">
      <c r="A49" s="1291" t="s">
        <v>249</v>
      </c>
      <c r="B49" s="1291" t="s">
        <v>250</v>
      </c>
      <c r="C49" s="1291" t="s">
        <v>251</v>
      </c>
      <c r="D49" s="1291" t="s">
        <v>540</v>
      </c>
      <c r="E49" s="2195"/>
      <c r="F49" s="2195"/>
      <c r="G49" s="2195"/>
      <c r="H49" s="2195"/>
      <c r="I49" s="2197"/>
      <c r="J49" s="2196"/>
      <c r="K49" s="1291"/>
      <c r="L49" s="1292"/>
      <c r="P49" s="2198"/>
      <c r="Q49" s="2198"/>
      <c r="R49" s="294"/>
      <c r="S49" s="1206"/>
      <c r="T49" s="225" t="s">
        <v>484</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6" t="s">
        <v>485</v>
      </c>
      <c r="AU49" s="438"/>
      <c r="AV49" s="438" t="str">
        <f t="shared" si="1"/>
        <v>Добавить значение признака дифференциации</v>
      </c>
      <c r="AW49" s="438"/>
      <c r="AX49" s="438"/>
      <c r="AY49" s="1083">
        <v>20</v>
      </c>
    </row>
    <row r="50" spans="1:51" ht="21.95" customHeight="1">
      <c r="A50" s="1291" t="s">
        <v>249</v>
      </c>
      <c r="B50" s="1291" t="s">
        <v>250</v>
      </c>
      <c r="C50" s="1291" t="s">
        <v>251</v>
      </c>
      <c r="D50" s="1291" t="s">
        <v>540</v>
      </c>
      <c r="E50" s="2195"/>
      <c r="F50" s="2195"/>
      <c r="G50" s="2195"/>
      <c r="H50" s="2195"/>
      <c r="I50" s="2196"/>
      <c r="J50" s="1291"/>
      <c r="K50" s="1291"/>
      <c r="L50" s="1292"/>
      <c r="P50" s="2198"/>
      <c r="Q50" s="1409"/>
      <c r="R50" s="294"/>
      <c r="S50" s="1206"/>
      <c r="T50" s="303" t="s">
        <v>410</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249</v>
      </c>
      <c r="B51" s="1291" t="s">
        <v>250</v>
      </c>
      <c r="C51" s="1291" t="s">
        <v>251</v>
      </c>
      <c r="D51" s="1291" t="s">
        <v>540</v>
      </c>
      <c r="E51" s="2195"/>
      <c r="F51" s="2195"/>
      <c r="G51" s="2195"/>
      <c r="H51" s="2194"/>
      <c r="I51" s="1291"/>
      <c r="J51" s="1291"/>
      <c r="K51" s="1291"/>
      <c r="L51" s="1292"/>
      <c r="M51" s="1293"/>
      <c r="N51" s="1293"/>
      <c r="O51" s="475"/>
      <c r="P51" s="298"/>
      <c r="Q51" s="313"/>
      <c r="R51" s="293"/>
      <c r="S51" s="1206"/>
      <c r="T51" s="310" t="s">
        <v>486</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249</v>
      </c>
      <c r="B52" s="1271" t="s">
        <v>250</v>
      </c>
      <c r="C52" s="1242"/>
      <c r="D52" s="1242"/>
      <c r="E52" s="2195"/>
      <c r="F52" s="2194"/>
      <c r="G52" s="1242"/>
      <c r="H52" s="1242"/>
      <c r="I52" s="1242"/>
      <c r="J52" s="1242"/>
      <c r="K52" s="1242"/>
      <c r="L52" s="1422"/>
      <c r="M52" s="1249"/>
      <c r="N52" s="1249"/>
      <c r="P52" s="1244"/>
      <c r="Q52" s="1245"/>
      <c r="R52" s="1244"/>
      <c r="S52" s="1250"/>
      <c r="T52" s="1253" t="s">
        <v>413</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249</v>
      </c>
      <c r="B53" s="1271"/>
      <c r="C53" s="1271"/>
      <c r="D53" s="1271"/>
      <c r="E53" s="2194"/>
      <c r="F53" s="1271"/>
      <c r="G53" s="1271"/>
      <c r="H53" s="1271"/>
      <c r="I53" s="1271"/>
      <c r="J53" s="1271"/>
      <c r="K53" s="1271"/>
      <c r="L53" s="1274"/>
      <c r="M53" s="1249"/>
      <c r="N53" s="1249"/>
      <c r="O53" s="456"/>
      <c r="P53" s="318"/>
      <c r="Q53" s="1272"/>
      <c r="R53" s="318"/>
      <c r="S53" s="1250"/>
      <c r="T53" s="1253" t="s">
        <v>414</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446</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93"/>
      <c r="U56" s="2193"/>
      <c r="V56" s="2193"/>
      <c r="W56" s="2193"/>
      <c r="X56" s="2193"/>
      <c r="Y56" s="2193"/>
      <c r="Z56" s="2193"/>
      <c r="AA56" s="2193"/>
      <c r="AB56" s="2193"/>
      <c r="AC56" s="2193"/>
      <c r="AD56" s="2193"/>
      <c r="AE56" s="2193"/>
      <c r="AF56" s="2193"/>
      <c r="AG56" s="2193"/>
      <c r="AH56" s="2193"/>
      <c r="AI56" s="2193"/>
      <c r="AJ56" s="2193"/>
      <c r="AK56" s="2193"/>
      <c r="AL56" s="2193"/>
      <c r="AM56" s="2193"/>
      <c r="AN56" s="2193"/>
      <c r="AO56" s="2193"/>
      <c r="AP56" s="2193"/>
      <c r="AQ56" s="2193"/>
      <c r="AR56" s="2193"/>
      <c r="AS56" s="2193"/>
      <c r="AY56" s="1083">
        <v>14</v>
      </c>
    </row>
    <row r="57" spans="1:51" ht="14.65" customHeight="1">
      <c r="O57" s="475"/>
      <c r="AY57" s="1083">
        <v>14</v>
      </c>
    </row>
    <row r="58" spans="1:51" ht="14.65" customHeight="1">
      <c r="O58" s="475"/>
      <c r="S58" s="1181"/>
      <c r="T58" s="2193"/>
      <c r="U58" s="2193"/>
      <c r="V58" s="2193"/>
      <c r="W58" s="2193"/>
      <c r="X58" s="2193"/>
      <c r="Y58" s="2193"/>
      <c r="Z58" s="2193"/>
      <c r="AA58" s="2193"/>
      <c r="AB58" s="2193"/>
      <c r="AC58" s="2193"/>
      <c r="AD58" s="2193"/>
      <c r="AE58" s="2193"/>
      <c r="AF58" s="2193"/>
      <c r="AG58" s="2193"/>
      <c r="AH58" s="2193"/>
      <c r="AI58" s="2193"/>
      <c r="AJ58" s="2193"/>
      <c r="AK58" s="2193"/>
      <c r="AL58" s="2193"/>
      <c r="AM58" s="2193"/>
      <c r="AN58" s="2193"/>
      <c r="AO58" s="2193"/>
      <c r="AP58" s="2193"/>
      <c r="AQ58" s="2193"/>
      <c r="AR58" s="2193"/>
      <c r="AS58" s="2193"/>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559">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B1" s="265"/>
      <c r="AC1" s="265"/>
      <c r="AM1" s="265"/>
      <c r="AN1" s="265"/>
      <c r="AY1" s="1083" t="s">
        <v>14</v>
      </c>
    </row>
    <row r="2" spans="1:51" ht="23.25" hidden="1" customHeight="1">
      <c r="A2" s="1291"/>
      <c r="B2" s="1291"/>
      <c r="C2" s="1291"/>
      <c r="D2" s="1291"/>
      <c r="E2" s="219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8"/>
      <c r="W2" s="2189"/>
      <c r="X2" s="2189"/>
      <c r="Y2" s="2189"/>
      <c r="Z2" s="2189"/>
      <c r="AA2" s="2189"/>
      <c r="AB2" s="2189"/>
      <c r="AC2" s="2189"/>
      <c r="AD2" s="2189"/>
      <c r="AE2" s="2189"/>
      <c r="AF2" s="2190"/>
      <c r="AG2" s="2188" t="e">
        <f>INDEX(PT_DIFFERENTIATION_NTAR,MATCH(A2,PT_DIFFERENTIATION_NTAR_ID,0))</f>
        <v>#N/A</v>
      </c>
      <c r="AH2" s="2189"/>
      <c r="AI2" s="2189"/>
      <c r="AJ2" s="2189"/>
      <c r="AK2" s="2189"/>
      <c r="AL2" s="2189"/>
      <c r="AM2" s="2189"/>
      <c r="AN2" s="2189"/>
      <c r="AO2" s="2189"/>
      <c r="AP2" s="2189"/>
      <c r="AQ2" s="2189"/>
      <c r="AR2" s="2190"/>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95"/>
      <c r="F3" s="219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8"/>
      <c r="W3" s="2189"/>
      <c r="X3" s="2189"/>
      <c r="Y3" s="2189"/>
      <c r="Z3" s="2189"/>
      <c r="AA3" s="2189"/>
      <c r="AB3" s="2189"/>
      <c r="AC3" s="2189"/>
      <c r="AD3" s="2189"/>
      <c r="AE3" s="2189"/>
      <c r="AF3" s="2190"/>
      <c r="AG3" s="2188" t="e">
        <f>INDEX(PT_DIFFERENTIATION_TER,MATCH(B3,PT_DIFFERENTIATION_TER_ID,0))</f>
        <v>#N/A</v>
      </c>
      <c r="AH3" s="2189"/>
      <c r="AI3" s="2189"/>
      <c r="AJ3" s="2189"/>
      <c r="AK3" s="2189"/>
      <c r="AL3" s="2189"/>
      <c r="AM3" s="2189"/>
      <c r="AN3" s="2189"/>
      <c r="AO3" s="2189"/>
      <c r="AP3" s="2189"/>
      <c r="AQ3" s="2189"/>
      <c r="AR3" s="2190"/>
      <c r="AS3" s="1186" t="s">
        <v>396</v>
      </c>
      <c r="AU3" s="438"/>
      <c r="AV3" s="438" t="str">
        <f t="shared" si="0"/>
        <v>Территория действия тарифа</v>
      </c>
      <c r="AW3" s="438"/>
      <c r="AX3" s="438"/>
      <c r="AY3" s="1083">
        <v>0</v>
      </c>
    </row>
    <row r="4" spans="1:51" ht="23.25" hidden="1" customHeight="1">
      <c r="A4" s="1291"/>
      <c r="B4" s="1291"/>
      <c r="C4" s="1291"/>
      <c r="D4" s="1291"/>
      <c r="E4" s="2195"/>
      <c r="F4" s="2195"/>
      <c r="G4" s="2194">
        <v>1</v>
      </c>
      <c r="H4" s="1291"/>
      <c r="I4" s="1291"/>
      <c r="J4" s="1291"/>
      <c r="K4" s="1291"/>
      <c r="L4" s="1292"/>
      <c r="M4" s="1293"/>
      <c r="N4" s="1293"/>
      <c r="O4" s="1293"/>
      <c r="P4" s="292"/>
      <c r="Q4" s="290"/>
      <c r="R4" s="291"/>
      <c r="S4" s="1421" t="e">
        <f>INDEX(PT_DIFFERENTIATION_NUM_CS,MATCH(C4,PT_DIFFERENTIATION_CS_ID,0))</f>
        <v>#N/A</v>
      </c>
      <c r="T4" s="247" t="s">
        <v>528</v>
      </c>
      <c r="U4" s="238"/>
      <c r="V4" s="2188"/>
      <c r="W4" s="2189"/>
      <c r="X4" s="2189"/>
      <c r="Y4" s="2189"/>
      <c r="Z4" s="2189"/>
      <c r="AA4" s="2189"/>
      <c r="AB4" s="2189"/>
      <c r="AC4" s="2189"/>
      <c r="AD4" s="2189"/>
      <c r="AE4" s="2189"/>
      <c r="AF4" s="2190"/>
      <c r="AG4" s="2188" t="e">
        <f>INDEX(PT_DIFFERENTIATION_CS,MATCH(C4,PT_DIFFERENTIATION_CS_ID,0))</f>
        <v>#N/A</v>
      </c>
      <c r="AH4" s="2189"/>
      <c r="AI4" s="2189"/>
      <c r="AJ4" s="2189"/>
      <c r="AK4" s="2189"/>
      <c r="AL4" s="2189"/>
      <c r="AM4" s="2189"/>
      <c r="AN4" s="2189"/>
      <c r="AO4" s="2189"/>
      <c r="AP4" s="2189"/>
      <c r="AQ4" s="2189"/>
      <c r="AR4" s="2190"/>
      <c r="AS4" s="1186" t="s">
        <v>529</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95"/>
      <c r="F5" s="2195"/>
      <c r="G5" s="2195"/>
      <c r="H5" s="2195"/>
      <c r="I5" s="2196" t="e">
        <f>S4&amp;".1"</f>
        <v>#N/A</v>
      </c>
      <c r="J5" s="1291"/>
      <c r="K5" s="1291"/>
      <c r="L5" s="1292"/>
      <c r="P5" s="2198">
        <v>1</v>
      </c>
      <c r="Q5" s="1409"/>
      <c r="R5" s="294"/>
      <c r="S5" s="1421" t="e">
        <f>$I5</f>
        <v>#N/A</v>
      </c>
      <c r="T5" s="223" t="s">
        <v>481</v>
      </c>
      <c r="U5" s="238"/>
      <c r="V5" s="2262"/>
      <c r="W5" s="2263"/>
      <c r="X5" s="2263"/>
      <c r="Y5" s="2263"/>
      <c r="Z5" s="2263"/>
      <c r="AA5" s="2263"/>
      <c r="AB5" s="2263"/>
      <c r="AC5" s="2263"/>
      <c r="AD5" s="2263"/>
      <c r="AE5" s="2263"/>
      <c r="AF5" s="2264"/>
      <c r="AG5" s="2265"/>
      <c r="AH5" s="2266"/>
      <c r="AI5" s="2266"/>
      <c r="AJ5" s="2266"/>
      <c r="AK5" s="2266"/>
      <c r="AL5" s="2266"/>
      <c r="AM5" s="2266"/>
      <c r="AN5" s="2266"/>
      <c r="AO5" s="2266"/>
      <c r="AP5" s="2266"/>
      <c r="AQ5" s="2266"/>
      <c r="AR5" s="2267"/>
      <c r="AS5" s="1186" t="s">
        <v>482</v>
      </c>
      <c r="AU5" s="438"/>
      <c r="AV5" s="438" t="str">
        <f t="shared" si="0"/>
        <v>Наименование признака дифференциации</v>
      </c>
      <c r="AW5" s="438"/>
      <c r="AX5" s="438"/>
      <c r="AY5" s="1083">
        <v>0</v>
      </c>
    </row>
    <row r="6" spans="1:51" ht="23.25" hidden="1" customHeight="1">
      <c r="A6" s="1291"/>
      <c r="B6" s="1291"/>
      <c r="C6" s="1291"/>
      <c r="D6" s="1291"/>
      <c r="E6" s="2195"/>
      <c r="F6" s="2195"/>
      <c r="G6" s="2195"/>
      <c r="H6" s="2195"/>
      <c r="I6" s="2197"/>
      <c r="J6" s="2196" t="e">
        <f>I5&amp;".1"</f>
        <v>#N/A</v>
      </c>
      <c r="K6" s="1291"/>
      <c r="L6" s="1292" t="s">
        <v>404</v>
      </c>
      <c r="P6" s="2198"/>
      <c r="Q6" s="2198">
        <v>1</v>
      </c>
      <c r="R6" s="295"/>
      <c r="S6" s="1421" t="e">
        <f>$J6</f>
        <v>#N/A</v>
      </c>
      <c r="T6" s="224" t="s">
        <v>405</v>
      </c>
      <c r="U6" s="238"/>
      <c r="V6" s="2182"/>
      <c r="W6" s="2183"/>
      <c r="X6" s="2183"/>
      <c r="Y6" s="2183"/>
      <c r="Z6" s="2183"/>
      <c r="AA6" s="2183"/>
      <c r="AB6" s="2183"/>
      <c r="AC6" s="2183"/>
      <c r="AD6" s="2183"/>
      <c r="AE6" s="2183"/>
      <c r="AF6" s="2184"/>
      <c r="AG6" s="2182"/>
      <c r="AH6" s="2183"/>
      <c r="AI6" s="2183"/>
      <c r="AJ6" s="2183"/>
      <c r="AK6" s="2183"/>
      <c r="AL6" s="2183"/>
      <c r="AM6" s="2183"/>
      <c r="AN6" s="2183"/>
      <c r="AO6" s="2183"/>
      <c r="AP6" s="2183"/>
      <c r="AQ6" s="2183"/>
      <c r="AR6" s="2184"/>
      <c r="AS6" s="1235" t="s">
        <v>483</v>
      </c>
      <c r="AU6" s="438"/>
      <c r="AV6" s="438" t="str">
        <f t="shared" si="0"/>
        <v>Группа потребителей</v>
      </c>
      <c r="AW6" s="438"/>
      <c r="AX6" s="438"/>
      <c r="AY6" s="1083">
        <v>0</v>
      </c>
    </row>
    <row r="7" spans="1:51" ht="23.25" hidden="1" customHeight="1">
      <c r="A7" s="1291"/>
      <c r="B7" s="1291"/>
      <c r="C7" s="1291"/>
      <c r="D7" s="1291"/>
      <c r="E7" s="2195"/>
      <c r="F7" s="2195"/>
      <c r="G7" s="2195"/>
      <c r="H7" s="2195"/>
      <c r="I7" s="2197"/>
      <c r="J7" s="2197"/>
      <c r="K7" s="2196" t="e">
        <f>J6&amp;".1"</f>
        <v>#N/A</v>
      </c>
      <c r="L7" s="1292"/>
      <c r="P7" s="2198"/>
      <c r="Q7" s="2198"/>
      <c r="R7" s="295">
        <v>1</v>
      </c>
      <c r="S7" s="1421" t="e">
        <f>$K7</f>
        <v>#N/A</v>
      </c>
      <c r="T7" s="1365"/>
      <c r="U7" s="238"/>
      <c r="V7" s="689"/>
      <c r="W7" s="689"/>
      <c r="X7" s="689"/>
      <c r="Y7" s="689"/>
      <c r="Z7" s="689"/>
      <c r="AA7" s="689"/>
      <c r="AB7" s="1185"/>
      <c r="AC7" s="2199"/>
      <c r="AD7" s="2076" t="s">
        <v>65</v>
      </c>
      <c r="AE7" s="2199"/>
      <c r="AF7" s="2076" t="s">
        <v>65</v>
      </c>
      <c r="AG7" s="689"/>
      <c r="AH7" s="689"/>
      <c r="AI7" s="689"/>
      <c r="AJ7" s="689"/>
      <c r="AK7" s="689"/>
      <c r="AL7" s="689"/>
      <c r="AM7" s="1185"/>
      <c r="AN7" s="2199"/>
      <c r="AO7" s="2076" t="s">
        <v>65</v>
      </c>
      <c r="AP7" s="2201"/>
      <c r="AQ7" s="2076" t="s">
        <v>65</v>
      </c>
      <c r="AR7" s="1366"/>
      <c r="AS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95"/>
      <c r="F8" s="2195"/>
      <c r="G8" s="2195"/>
      <c r="H8" s="2195"/>
      <c r="I8" s="2197"/>
      <c r="J8" s="2197"/>
      <c r="K8" s="2196"/>
      <c r="L8" s="1292"/>
      <c r="P8" s="2198"/>
      <c r="Q8" s="2198"/>
      <c r="R8" s="295"/>
      <c r="S8" s="1418"/>
      <c r="T8" s="238"/>
      <c r="U8" s="238"/>
      <c r="V8" s="263"/>
      <c r="W8" s="263"/>
      <c r="X8" s="263"/>
      <c r="Y8" s="263"/>
      <c r="Z8" s="263"/>
      <c r="AA8" s="263"/>
      <c r="AB8" s="266" t="str">
        <f>AC7&amp;"-"&amp;AE7</f>
        <v>-</v>
      </c>
      <c r="AC8" s="2200"/>
      <c r="AD8" s="2076"/>
      <c r="AE8" s="2200"/>
      <c r="AF8" s="2076"/>
      <c r="AG8" s="263"/>
      <c r="AH8" s="263"/>
      <c r="AI8" s="263"/>
      <c r="AJ8" s="263"/>
      <c r="AK8" s="263"/>
      <c r="AL8" s="263"/>
      <c r="AM8" s="266" t="str">
        <f>AN7&amp;"-"&amp;AP7</f>
        <v>-</v>
      </c>
      <c r="AN8" s="2200"/>
      <c r="AO8" s="2076"/>
      <c r="AP8" s="2202"/>
      <c r="AQ8" s="2076"/>
      <c r="AR8" s="1367"/>
      <c r="AS8" s="2268"/>
      <c r="AU8" s="438"/>
      <c r="AV8" s="438" t="str">
        <f t="shared" si="0"/>
        <v/>
      </c>
      <c r="AW8" s="438"/>
      <c r="AX8" s="438"/>
      <c r="AY8" s="1083">
        <v>0</v>
      </c>
    </row>
    <row r="9" spans="1:51" ht="21" hidden="1" customHeight="1">
      <c r="A9" s="1291"/>
      <c r="B9" s="1291"/>
      <c r="C9" s="1291"/>
      <c r="D9" s="1291"/>
      <c r="E9" s="2195"/>
      <c r="F9" s="2195"/>
      <c r="G9" s="2195"/>
      <c r="H9" s="2195"/>
      <c r="I9" s="2197"/>
      <c r="J9" s="2196"/>
      <c r="K9" s="1291"/>
      <c r="L9" s="1292"/>
      <c r="P9" s="2198"/>
      <c r="Q9" s="2198"/>
      <c r="R9" s="294"/>
      <c r="S9" s="1206"/>
      <c r="T9" s="225" t="s">
        <v>484</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485</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95"/>
      <c r="F10" s="2195"/>
      <c r="G10" s="2195"/>
      <c r="H10" s="2195"/>
      <c r="I10" s="2196"/>
      <c r="J10" s="1291"/>
      <c r="K10" s="1291"/>
      <c r="L10" s="1292"/>
      <c r="P10" s="2198"/>
      <c r="Q10" s="1409"/>
      <c r="R10" s="294"/>
      <c r="S10" s="1206"/>
      <c r="T10" s="303" t="s">
        <v>410</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95"/>
      <c r="F12" s="219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192"/>
      <c r="AO15" s="2191" t="s">
        <v>65</v>
      </c>
      <c r="AP15" s="2192"/>
      <c r="AQ15" s="2191" t="s">
        <v>65</v>
      </c>
      <c r="AY15" s="1083">
        <v>0</v>
      </c>
    </row>
    <row r="16" spans="1:51" ht="14.25" hidden="1" customHeight="1">
      <c r="AG16" s="1288"/>
      <c r="AH16" s="1288"/>
      <c r="AI16" s="1288"/>
      <c r="AJ16" s="1288"/>
      <c r="AK16" s="1288"/>
      <c r="AL16" s="1288"/>
      <c r="AM16" s="266" t="str">
        <f>AN15&amp;"-"&amp;AP15</f>
        <v>-</v>
      </c>
      <c r="AN16" s="2191"/>
      <c r="AO16" s="2191"/>
      <c r="AP16" s="2191"/>
      <c r="AQ16" s="2191"/>
      <c r="AY16" s="1083">
        <v>0</v>
      </c>
    </row>
    <row r="17" spans="1:51" ht="14.25" hidden="1" customHeight="1">
      <c r="AQ17" s="265"/>
      <c r="AY17" s="1083">
        <v>0</v>
      </c>
    </row>
    <row r="18" spans="1:51" s="1294" customFormat="1" ht="22.5" hidden="1" customHeight="1">
      <c r="L18" s="1406"/>
      <c r="M18" s="1290"/>
      <c r="N18" s="1290"/>
      <c r="O18" s="1295" t="s">
        <v>415</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416</v>
      </c>
      <c r="P20" s="1290"/>
      <c r="Q20" s="1370"/>
      <c r="R20" s="1370"/>
      <c r="S20" s="667"/>
      <c r="T20" s="1088" t="s">
        <v>417</v>
      </c>
      <c r="AD20" s="124" t="s">
        <v>418</v>
      </c>
      <c r="AF20" s="124" t="s">
        <v>419</v>
      </c>
      <c r="AG20" s="1088" t="s">
        <v>417</v>
      </c>
      <c r="AO20" s="124" t="s">
        <v>420</v>
      </c>
      <c r="AQ20" s="124" t="s">
        <v>419</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17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2175"/>
      <c r="AJ24" s="2175"/>
      <c r="AK24" s="2175"/>
      <c r="AL24" s="2175"/>
      <c r="AM24" s="2175"/>
      <c r="AN24" s="2175"/>
      <c r="AO24" s="2175"/>
      <c r="AP24" s="2175"/>
      <c r="AQ24" s="1171"/>
      <c r="AY24" s="1083">
        <v>25</v>
      </c>
    </row>
    <row r="25" spans="1:51"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2147"/>
      <c r="AJ25" s="2147"/>
      <c r="AK25" s="2147"/>
      <c r="AL25" s="2147"/>
      <c r="AM25" s="2147"/>
      <c r="AN25" s="2147"/>
      <c r="AO25" s="2147"/>
      <c r="AP25" s="2147"/>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187"/>
      <c r="AC27" s="2187"/>
      <c r="AD27" s="2187"/>
      <c r="AE27" s="2187"/>
      <c r="AF27" s="264"/>
      <c r="AG27" s="2187" t="str">
        <f>IF(TITLE_NAME_OR_PR_CHANGE="",IF(TITLE_NAME_OR_PR="","",TITLE_NAME_OR_PR),TITLE_NAME_OR_PR_CHANGE)</f>
        <v/>
      </c>
      <c r="AH27" s="2187"/>
      <c r="AI27" s="2187"/>
      <c r="AJ27" s="2187"/>
      <c r="AK27" s="2187"/>
      <c r="AL27" s="2187"/>
      <c r="AM27" s="2187"/>
      <c r="AN27" s="2187"/>
      <c r="AO27" s="2187"/>
      <c r="AP27" s="2187"/>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186"/>
      <c r="AC28" s="2186"/>
      <c r="AD28" s="2186"/>
      <c r="AE28" s="2186"/>
      <c r="AF28" s="264"/>
      <c r="AG28" s="2186" t="str">
        <f>IF(TITLE_DATE_PR_CHANGE="",IF(TITLE_DATE_PR="","",TITLE_DATE_PR),TITLE_DATE_PR_CHANGE)</f>
        <v/>
      </c>
      <c r="AH28" s="2186"/>
      <c r="AI28" s="2186"/>
      <c r="AJ28" s="2186"/>
      <c r="AK28" s="2186"/>
      <c r="AL28" s="2186"/>
      <c r="AM28" s="2186"/>
      <c r="AN28" s="2186"/>
      <c r="AO28" s="2186"/>
      <c r="AP28" s="2186"/>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187"/>
      <c r="AC29" s="2187"/>
      <c r="AD29" s="2187"/>
      <c r="AE29" s="2187"/>
      <c r="AF29" s="264"/>
      <c r="AG29" s="2187" t="str">
        <f>IF(TITLE_NUMBER_PR_CHANGE="",IF(TITLE_NUMBER_PR="","",TITLE_NUMBER_PR),TITLE_NUMBER_PR_CHANGE)</f>
        <v/>
      </c>
      <c r="AH29" s="2187"/>
      <c r="AI29" s="2187"/>
      <c r="AJ29" s="2187"/>
      <c r="AK29" s="2187"/>
      <c r="AL29" s="2187"/>
      <c r="AM29" s="2187"/>
      <c r="AN29" s="2187"/>
      <c r="AO29" s="2187"/>
      <c r="AP29" s="2187"/>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187"/>
      <c r="AC30" s="2187"/>
      <c r="AD30" s="2187"/>
      <c r="AE30" s="2187"/>
      <c r="AF30" s="264"/>
      <c r="AG30" s="2187" t="str">
        <f>IF(TITLE_IST_PUB_CHANGE="",IF(TITLE_IST_PUB="","",TITLE_IST_PUB),TITLE_IST_PUB_CHANGE)</f>
        <v/>
      </c>
      <c r="AH30" s="2187"/>
      <c r="AI30" s="2187"/>
      <c r="AJ30" s="2187"/>
      <c r="AK30" s="2187"/>
      <c r="AL30" s="2187"/>
      <c r="AM30" s="2187"/>
      <c r="AN30" s="2187"/>
      <c r="AO30" s="2187"/>
      <c r="AP30" s="2187"/>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186"/>
      <c r="AC32" s="2186"/>
      <c r="AD32" s="2186"/>
      <c r="AE32" s="2186"/>
      <c r="AF32" s="264"/>
      <c r="AG32" s="2186" t="str">
        <f>IF(TITLE_DATE_PR_CHANGE="",IF(TITLE_DATE_PR="","",TITLE_DATE_PR),TITLE_DATE_PR_CHANGE)</f>
        <v/>
      </c>
      <c r="AH32" s="2186"/>
      <c r="AI32" s="2186"/>
      <c r="AJ32" s="2186"/>
      <c r="AK32" s="2186"/>
      <c r="AL32" s="2186"/>
      <c r="AM32" s="2186"/>
      <c r="AN32" s="2186"/>
      <c r="AO32" s="2186"/>
      <c r="AP32" s="2186"/>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187"/>
      <c r="AC33" s="2187"/>
      <c r="AD33" s="2187"/>
      <c r="AE33" s="2187"/>
      <c r="AF33" s="264"/>
      <c r="AG33" s="2187" t="str">
        <f>IF(TITLE_NUMBER_PR_CHANGE="",IF(TITLE_NUMBER_PR="","",TITLE_NUMBER_PR),TITLE_NUMBER_PR_CHANGE)</f>
        <v/>
      </c>
      <c r="AH33" s="2187"/>
      <c r="AI33" s="2187"/>
      <c r="AJ33" s="2187"/>
      <c r="AK33" s="2187"/>
      <c r="AL33" s="2187"/>
      <c r="AM33" s="2187"/>
      <c r="AN33" s="2187"/>
      <c r="AO33" s="2187"/>
      <c r="AP33" s="2187"/>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425</v>
      </c>
      <c r="AG34" s="264"/>
      <c r="AH34" s="1563"/>
      <c r="AI34" s="1563"/>
      <c r="AJ34" s="1563"/>
      <c r="AK34" s="1563"/>
      <c r="AL34" s="1563"/>
      <c r="AM34" s="264"/>
      <c r="AN34" s="264"/>
      <c r="AO34" s="264"/>
      <c r="AP34" s="264"/>
      <c r="AQ34" s="216" t="s">
        <v>425</v>
      </c>
      <c r="AT34" s="306"/>
      <c r="AU34" s="306"/>
      <c r="AV34" s="306"/>
      <c r="AW34" s="306"/>
      <c r="AX34" s="306"/>
      <c r="AY34" s="356">
        <v>1</v>
      </c>
    </row>
    <row r="35" spans="1:51" ht="14.65" customHeight="1">
      <c r="Q35" s="314"/>
      <c r="R35" s="314"/>
      <c r="S35" s="1203"/>
      <c r="T35" s="301"/>
      <c r="U35" s="1172"/>
      <c r="V35" s="2206"/>
      <c r="W35" s="2206"/>
      <c r="X35" s="2206"/>
      <c r="Y35" s="2206"/>
      <c r="Z35" s="2206"/>
      <c r="AA35" s="2206"/>
      <c r="AB35" s="2206"/>
      <c r="AC35" s="2206"/>
      <c r="AD35" s="2206"/>
      <c r="AE35" s="2206"/>
      <c r="AF35" s="2206"/>
      <c r="AG35" s="2206"/>
      <c r="AH35" s="2206"/>
      <c r="AI35" s="2206"/>
      <c r="AJ35" s="2206"/>
      <c r="AK35" s="2206"/>
      <c r="AL35" s="2206"/>
      <c r="AM35" s="2206"/>
      <c r="AN35" s="2206"/>
      <c r="AO35" s="2206"/>
      <c r="AP35" s="2206"/>
      <c r="AQ35" s="2206"/>
      <c r="AY35" s="1083">
        <v>14</v>
      </c>
    </row>
    <row r="36" spans="1:51"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c r="AL36" s="2066"/>
      <c r="AM36" s="2066"/>
      <c r="AN36" s="2066"/>
      <c r="AO36" s="2066"/>
      <c r="AP36" s="2066"/>
      <c r="AQ36" s="2066"/>
      <c r="AR36" s="2066"/>
      <c r="AS36" s="2066" t="s">
        <v>299</v>
      </c>
      <c r="AY36" s="1083">
        <v>14</v>
      </c>
    </row>
    <row r="37" spans="1:51" ht="14.65" customHeight="1">
      <c r="Q37" s="314"/>
      <c r="R37" s="314"/>
      <c r="S37" s="2207" t="s">
        <v>87</v>
      </c>
      <c r="T37" s="2155" t="s">
        <v>426</v>
      </c>
      <c r="U37" s="239"/>
      <c r="V37" s="2208" t="s">
        <v>427</v>
      </c>
      <c r="W37" s="2209"/>
      <c r="X37" s="2209"/>
      <c r="Y37" s="2209"/>
      <c r="Z37" s="2209"/>
      <c r="AA37" s="2209"/>
      <c r="AB37" s="2209"/>
      <c r="AC37" s="2209"/>
      <c r="AD37" s="2209"/>
      <c r="AE37" s="2210"/>
      <c r="AF37" s="2211" t="s">
        <v>428</v>
      </c>
      <c r="AG37" s="2208" t="s">
        <v>427</v>
      </c>
      <c r="AH37" s="2209"/>
      <c r="AI37" s="2209"/>
      <c r="AJ37" s="2209"/>
      <c r="AK37" s="2209"/>
      <c r="AL37" s="2209"/>
      <c r="AM37" s="2209"/>
      <c r="AN37" s="2209"/>
      <c r="AO37" s="2209"/>
      <c r="AP37" s="2210"/>
      <c r="AQ37" s="2211" t="s">
        <v>429</v>
      </c>
      <c r="AR37" s="2214" t="s">
        <v>430</v>
      </c>
      <c r="AS37" s="2066"/>
      <c r="AY37" s="1083">
        <v>14</v>
      </c>
    </row>
    <row r="38" spans="1:51" s="1563" customFormat="1" ht="19.899999999999999" customHeight="1">
      <c r="A38" s="1294"/>
      <c r="B38" s="1294"/>
      <c r="C38" s="1294"/>
      <c r="D38" s="1294"/>
      <c r="E38" s="1294"/>
      <c r="F38" s="1294"/>
      <c r="G38" s="1294"/>
      <c r="H38" s="1294"/>
      <c r="I38" s="1294"/>
      <c r="J38" s="1294"/>
      <c r="K38" s="1294"/>
      <c r="L38" s="1903"/>
      <c r="M38" s="1290"/>
      <c r="N38" s="1290"/>
      <c r="O38" s="1290"/>
      <c r="P38" s="1904"/>
      <c r="Q38" s="314"/>
      <c r="R38" s="314"/>
      <c r="S38" s="2207"/>
      <c r="T38" s="2155"/>
      <c r="U38" s="962"/>
      <c r="V38" s="2066" t="s">
        <v>530</v>
      </c>
      <c r="W38" s="2278" t="s">
        <v>531</v>
      </c>
      <c r="X38" s="2278"/>
      <c r="Y38" s="2278"/>
      <c r="Z38" s="2278" t="s">
        <v>532</v>
      </c>
      <c r="AA38" s="2278"/>
      <c r="AB38" s="2278"/>
      <c r="AC38" s="2126" t="s">
        <v>434</v>
      </c>
      <c r="AD38" s="2236"/>
      <c r="AE38" s="2127"/>
      <c r="AF38" s="2212"/>
      <c r="AG38" s="2066" t="s">
        <v>530</v>
      </c>
      <c r="AH38" s="2278" t="s">
        <v>531</v>
      </c>
      <c r="AI38" s="2278"/>
      <c r="AJ38" s="2278"/>
      <c r="AK38" s="2278" t="s">
        <v>532</v>
      </c>
      <c r="AL38" s="2278"/>
      <c r="AM38" s="2278"/>
      <c r="AN38" s="2126" t="s">
        <v>434</v>
      </c>
      <c r="AO38" s="2236"/>
      <c r="AP38" s="2127"/>
      <c r="AQ38" s="2212"/>
      <c r="AR38" s="2215"/>
      <c r="AS38" s="2066"/>
      <c r="AT38" s="1564"/>
      <c r="AU38" s="1564"/>
      <c r="AV38" s="1564"/>
      <c r="AW38" s="1564"/>
      <c r="AX38" s="1564"/>
      <c r="AY38" s="1559">
        <v>19</v>
      </c>
    </row>
    <row r="39" spans="1:51" ht="19.899999999999999" customHeight="1">
      <c r="Q39" s="314"/>
      <c r="R39" s="314"/>
      <c r="S39" s="2207"/>
      <c r="T39" s="2155"/>
      <c r="U39" s="962"/>
      <c r="V39" s="2066"/>
      <c r="W39" s="2278" t="s">
        <v>533</v>
      </c>
      <c r="X39" s="2278" t="s">
        <v>534</v>
      </c>
      <c r="Y39" s="2278"/>
      <c r="Z39" s="2278" t="s">
        <v>535</v>
      </c>
      <c r="AA39" s="2278" t="s">
        <v>534</v>
      </c>
      <c r="AB39" s="2278"/>
      <c r="AC39" s="2131"/>
      <c r="AD39" s="2237"/>
      <c r="AE39" s="2132"/>
      <c r="AF39" s="2212"/>
      <c r="AG39" s="2066"/>
      <c r="AH39" s="2278" t="s">
        <v>533</v>
      </c>
      <c r="AI39" s="2278" t="s">
        <v>534</v>
      </c>
      <c r="AJ39" s="2278"/>
      <c r="AK39" s="2278" t="s">
        <v>535</v>
      </c>
      <c r="AL39" s="2278" t="s">
        <v>534</v>
      </c>
      <c r="AM39" s="2278"/>
      <c r="AN39" s="2131"/>
      <c r="AO39" s="2237"/>
      <c r="AP39" s="2132"/>
      <c r="AQ39" s="2212"/>
      <c r="AR39" s="2215"/>
      <c r="AS39" s="2066"/>
      <c r="AY39" s="1083">
        <v>19</v>
      </c>
    </row>
    <row r="40" spans="1:51" ht="61.9" customHeight="1">
      <c r="A40" s="1298"/>
      <c r="B40" s="1298" t="s">
        <v>135</v>
      </c>
      <c r="C40" s="1298" t="s">
        <v>136</v>
      </c>
      <c r="D40" s="1298" t="s">
        <v>137</v>
      </c>
      <c r="E40" s="1292" t="s">
        <v>435</v>
      </c>
      <c r="F40" s="1292" t="s">
        <v>436</v>
      </c>
      <c r="G40" s="1292" t="s">
        <v>437</v>
      </c>
      <c r="H40" s="1292"/>
      <c r="I40" s="1292" t="s">
        <v>488</v>
      </c>
      <c r="J40" s="1292" t="s">
        <v>440</v>
      </c>
      <c r="K40" s="1292" t="s">
        <v>489</v>
      </c>
      <c r="L40" s="1292" t="s">
        <v>416</v>
      </c>
      <c r="Q40" s="314"/>
      <c r="R40" s="314"/>
      <c r="S40" s="2207"/>
      <c r="T40" s="2155"/>
      <c r="U40" s="240"/>
      <c r="V40" s="2066"/>
      <c r="W40" s="2278"/>
      <c r="X40" s="1906" t="s">
        <v>536</v>
      </c>
      <c r="Y40" s="1906" t="s">
        <v>537</v>
      </c>
      <c r="Z40" s="2278"/>
      <c r="AA40" s="1906" t="s">
        <v>538</v>
      </c>
      <c r="AB40" s="1906" t="s">
        <v>539</v>
      </c>
      <c r="AC40" s="1417" t="s">
        <v>444</v>
      </c>
      <c r="AD40" s="2160" t="s">
        <v>445</v>
      </c>
      <c r="AE40" s="2174"/>
      <c r="AF40" s="2213"/>
      <c r="AG40" s="2066"/>
      <c r="AH40" s="2278"/>
      <c r="AI40" s="1906" t="s">
        <v>536</v>
      </c>
      <c r="AJ40" s="1906" t="s">
        <v>537</v>
      </c>
      <c r="AK40" s="2278"/>
      <c r="AL40" s="1906" t="s">
        <v>538</v>
      </c>
      <c r="AM40" s="1906" t="s">
        <v>539</v>
      </c>
      <c r="AN40" s="1417" t="s">
        <v>444</v>
      </c>
      <c r="AO40" s="2160" t="s">
        <v>445</v>
      </c>
      <c r="AP40" s="2174"/>
      <c r="AQ40" s="2213"/>
      <c r="AR40" s="2216"/>
      <c r="AS40" s="2066"/>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902"/>
      <c r="X41" s="1902"/>
      <c r="Y41" s="1902"/>
      <c r="Z41" s="1902"/>
      <c r="AA41" s="1902"/>
      <c r="AB41" s="1410">
        <f ca="1">OFFSET(AB41,0,-1)+1</f>
        <v>1</v>
      </c>
      <c r="AC41" s="1410">
        <f ca="1">OFFSET(AC41,0,-1)+1</f>
        <v>2</v>
      </c>
      <c r="AD41" s="2205">
        <f ca="1">OFFSET(AD41,0,-1)+1</f>
        <v>3</v>
      </c>
      <c r="AE41" s="2205"/>
      <c r="AF41" s="1410">
        <f ca="1">OFFSET(AF41,0,-2)+1</f>
        <v>4</v>
      </c>
      <c r="AG41" s="1410">
        <f ca="1">OFFSET(AG41,0,-1)+1</f>
        <v>5</v>
      </c>
      <c r="AH41" s="1902"/>
      <c r="AI41" s="1902"/>
      <c r="AJ41" s="1902"/>
      <c r="AK41" s="1902"/>
      <c r="AL41" s="1902"/>
      <c r="AM41" s="1410">
        <f ca="1">OFFSET(AM41,0,-1)+1</f>
        <v>1</v>
      </c>
      <c r="AN41" s="1410">
        <f ca="1">OFFSET(AN41,0,-1)+1</f>
        <v>2</v>
      </c>
      <c r="AO41" s="2205">
        <f ca="1">OFFSET(AO41,0,-1)+1</f>
        <v>3</v>
      </c>
      <c r="AP41" s="2205"/>
      <c r="AQ41" s="1410">
        <f ca="1">OFFSET(AQ41,0,-2)+1</f>
        <v>4</v>
      </c>
      <c r="AR41" s="1173">
        <f ca="1">OFFSET(AR41,0,-1)</f>
        <v>4</v>
      </c>
      <c r="AS41" s="1410">
        <f ca="1">OFFSET(AS41,0,-1)+1</f>
        <v>5</v>
      </c>
      <c r="AT41" s="449"/>
      <c r="AU41" s="449"/>
      <c r="AV41" s="449"/>
      <c r="AW41" s="449"/>
      <c r="AX41" s="449"/>
      <c r="AY41" s="434">
        <v>0</v>
      </c>
    </row>
    <row r="42" spans="1:51" ht="24" customHeight="1">
      <c r="A42" s="1291" t="s">
        <v>254</v>
      </c>
      <c r="B42" s="1291"/>
      <c r="C42" s="1291"/>
      <c r="D42" s="1291"/>
      <c r="E42" s="2194">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188"/>
      <c r="W42" s="2189"/>
      <c r="X42" s="2189"/>
      <c r="Y42" s="2189"/>
      <c r="Z42" s="2189"/>
      <c r="AA42" s="2189"/>
      <c r="AB42" s="2189"/>
      <c r="AC42" s="2189"/>
      <c r="AD42" s="2189"/>
      <c r="AE42" s="2189"/>
      <c r="AF42" s="2190"/>
      <c r="AG42" s="2188" t="str">
        <f>INDEX(PT_DIFFERENTIATION_NTAR,MATCH(A42,PT_DIFFERENTIATION_NTAR_ID,0))</f>
        <v/>
      </c>
      <c r="AH42" s="2189"/>
      <c r="AI42" s="2189"/>
      <c r="AJ42" s="2189"/>
      <c r="AK42" s="2189"/>
      <c r="AL42" s="2189"/>
      <c r="AM42" s="2189"/>
      <c r="AN42" s="2189"/>
      <c r="AO42" s="2189"/>
      <c r="AP42" s="2189"/>
      <c r="AQ42" s="2189"/>
      <c r="AR42" s="2190"/>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254</v>
      </c>
      <c r="B43" s="1291" t="s">
        <v>255</v>
      </c>
      <c r="C43" s="1291"/>
      <c r="D43" s="1291"/>
      <c r="E43" s="2195"/>
      <c r="F43" s="2194">
        <v>1</v>
      </c>
      <c r="G43" s="1291"/>
      <c r="H43" s="1291"/>
      <c r="I43" s="1291"/>
      <c r="J43" s="1291"/>
      <c r="K43" s="1291"/>
      <c r="L43" s="1292"/>
      <c r="M43" s="1293"/>
      <c r="N43" s="1293"/>
      <c r="O43" s="1293"/>
      <c r="P43" s="1415"/>
      <c r="Q43" s="290"/>
      <c r="R43" s="291"/>
      <c r="S43" s="1421" t="str">
        <f>INDEX(PT_DIFFERENTIATION_NUM_TER,MATCH(B43,PT_DIFFERENTIATION_TER_ID,0))</f>
        <v>.</v>
      </c>
      <c r="T43" s="246" t="s">
        <v>395</v>
      </c>
      <c r="U43" s="238"/>
      <c r="V43" s="2188"/>
      <c r="W43" s="2189"/>
      <c r="X43" s="2189"/>
      <c r="Y43" s="2189"/>
      <c r="Z43" s="2189"/>
      <c r="AA43" s="2189"/>
      <c r="AB43" s="2189"/>
      <c r="AC43" s="2189"/>
      <c r="AD43" s="2189"/>
      <c r="AE43" s="2189"/>
      <c r="AF43" s="2190"/>
      <c r="AG43" s="2188" t="str">
        <f>INDEX(PT_DIFFERENTIATION_TER,MATCH(B43,PT_DIFFERENTIATION_TER_ID,0))</f>
        <v/>
      </c>
      <c r="AH43" s="2189"/>
      <c r="AI43" s="2189"/>
      <c r="AJ43" s="2189"/>
      <c r="AK43" s="2189"/>
      <c r="AL43" s="2189"/>
      <c r="AM43" s="2189"/>
      <c r="AN43" s="2189"/>
      <c r="AO43" s="2189"/>
      <c r="AP43" s="2189"/>
      <c r="AQ43" s="2189"/>
      <c r="AR43" s="2190"/>
      <c r="AS43" s="1186" t="s">
        <v>396</v>
      </c>
      <c r="AU43" s="438"/>
      <c r="AV43" s="438" t="str">
        <f t="shared" si="1"/>
        <v>Территория действия тарифа</v>
      </c>
      <c r="AW43" s="438"/>
      <c r="AX43" s="438"/>
      <c r="AY43" s="1083">
        <v>23</v>
      </c>
    </row>
    <row r="44" spans="1:51" ht="24" customHeight="1">
      <c r="A44" s="1291" t="s">
        <v>254</v>
      </c>
      <c r="B44" s="1291" t="s">
        <v>255</v>
      </c>
      <c r="C44" s="1291" t="s">
        <v>256</v>
      </c>
      <c r="D44" s="1291"/>
      <c r="E44" s="2195"/>
      <c r="F44" s="2195"/>
      <c r="G44" s="2194">
        <v>1</v>
      </c>
      <c r="H44" s="1291"/>
      <c r="I44" s="1291"/>
      <c r="J44" s="1291"/>
      <c r="K44" s="1291"/>
      <c r="L44" s="1292"/>
      <c r="M44" s="1293"/>
      <c r="N44" s="1293"/>
      <c r="O44" s="1293"/>
      <c r="P44" s="292"/>
      <c r="Q44" s="290"/>
      <c r="R44" s="291"/>
      <c r="S44" s="1421" t="str">
        <f>INDEX(PT_DIFFERENTIATION_NUM_CS,MATCH(C44,PT_DIFFERENTIATION_CS_ID,0))</f>
        <v>..</v>
      </c>
      <c r="T44" s="247" t="s">
        <v>528</v>
      </c>
      <c r="U44" s="238"/>
      <c r="V44" s="2188"/>
      <c r="W44" s="2189"/>
      <c r="X44" s="2189"/>
      <c r="Y44" s="2189"/>
      <c r="Z44" s="2189"/>
      <c r="AA44" s="2189"/>
      <c r="AB44" s="2189"/>
      <c r="AC44" s="2189"/>
      <c r="AD44" s="2189"/>
      <c r="AE44" s="2189"/>
      <c r="AF44" s="2190"/>
      <c r="AG44" s="2188" t="str">
        <f>INDEX(PT_DIFFERENTIATION_CS,MATCH(C44,PT_DIFFERENTIATION_CS_ID,0))</f>
        <v/>
      </c>
      <c r="AH44" s="2189"/>
      <c r="AI44" s="2189"/>
      <c r="AJ44" s="2189"/>
      <c r="AK44" s="2189"/>
      <c r="AL44" s="2189"/>
      <c r="AM44" s="2189"/>
      <c r="AN44" s="2189"/>
      <c r="AO44" s="2189"/>
      <c r="AP44" s="2189"/>
      <c r="AQ44" s="2189"/>
      <c r="AR44" s="2190"/>
      <c r="AS44" s="1186" t="s">
        <v>529</v>
      </c>
      <c r="AU44" s="438"/>
      <c r="AV44" s="438" t="str">
        <f t="shared" si="1"/>
        <v>Наименование централизованной системы горячего водоснабжения</v>
      </c>
      <c r="AW44" s="438"/>
      <c r="AX44" s="438"/>
      <c r="AY44" s="1083">
        <v>23</v>
      </c>
    </row>
    <row r="45" spans="1:51" ht="24" customHeight="1">
      <c r="A45" s="1291" t="s">
        <v>254</v>
      </c>
      <c r="B45" s="1291" t="s">
        <v>255</v>
      </c>
      <c r="C45" s="1291" t="s">
        <v>256</v>
      </c>
      <c r="D45" s="1291" t="s">
        <v>541</v>
      </c>
      <c r="E45" s="2195"/>
      <c r="F45" s="2195"/>
      <c r="G45" s="2195"/>
      <c r="H45" s="2195"/>
      <c r="I45" s="2196" t="str">
        <f>S44&amp;".1"</f>
        <v>...1</v>
      </c>
      <c r="J45" s="1291"/>
      <c r="K45" s="1291"/>
      <c r="L45" s="1292"/>
      <c r="P45" s="2198">
        <v>1</v>
      </c>
      <c r="Q45" s="1409"/>
      <c r="R45" s="294"/>
      <c r="S45" s="1421" t="str">
        <f>$I45</f>
        <v>...1</v>
      </c>
      <c r="T45" s="223" t="s">
        <v>481</v>
      </c>
      <c r="U45" s="238"/>
      <c r="V45" s="2262"/>
      <c r="W45" s="2263"/>
      <c r="X45" s="2263"/>
      <c r="Y45" s="2263"/>
      <c r="Z45" s="2263"/>
      <c r="AA45" s="2263"/>
      <c r="AB45" s="2263"/>
      <c r="AC45" s="2263"/>
      <c r="AD45" s="2263"/>
      <c r="AE45" s="2263"/>
      <c r="AF45" s="2264"/>
      <c r="AG45" s="2265"/>
      <c r="AH45" s="2266"/>
      <c r="AI45" s="2266"/>
      <c r="AJ45" s="2266"/>
      <c r="AK45" s="2266"/>
      <c r="AL45" s="2266"/>
      <c r="AM45" s="2266"/>
      <c r="AN45" s="2266"/>
      <c r="AO45" s="2266"/>
      <c r="AP45" s="2266"/>
      <c r="AQ45" s="2266"/>
      <c r="AR45" s="2267"/>
      <c r="AS45" s="1186" t="s">
        <v>482</v>
      </c>
      <c r="AU45" s="438"/>
      <c r="AV45" s="438" t="str">
        <f t="shared" si="1"/>
        <v>Наименование признака дифференциации</v>
      </c>
      <c r="AW45" s="438"/>
      <c r="AX45" s="438"/>
      <c r="AY45" s="1083">
        <v>23</v>
      </c>
    </row>
    <row r="46" spans="1:51" ht="24" customHeight="1">
      <c r="A46" s="1291" t="s">
        <v>254</v>
      </c>
      <c r="B46" s="1291" t="s">
        <v>255</v>
      </c>
      <c r="C46" s="1291" t="s">
        <v>256</v>
      </c>
      <c r="D46" s="1291" t="s">
        <v>541</v>
      </c>
      <c r="E46" s="2195"/>
      <c r="F46" s="2195"/>
      <c r="G46" s="2195"/>
      <c r="H46" s="2195"/>
      <c r="I46" s="2197"/>
      <c r="J46" s="2196" t="str">
        <f>I45&amp;".1"</f>
        <v>...1.1</v>
      </c>
      <c r="K46" s="1291"/>
      <c r="L46" s="1292" t="s">
        <v>404</v>
      </c>
      <c r="P46" s="2198"/>
      <c r="Q46" s="2198">
        <v>1</v>
      </c>
      <c r="R46" s="295"/>
      <c r="S46" s="1421" t="str">
        <f>$J46</f>
        <v>...1.1</v>
      </c>
      <c r="T46" s="224" t="s">
        <v>405</v>
      </c>
      <c r="U46" s="238"/>
      <c r="V46" s="2182"/>
      <c r="W46" s="2183"/>
      <c r="X46" s="2183"/>
      <c r="Y46" s="2183"/>
      <c r="Z46" s="2183"/>
      <c r="AA46" s="2183"/>
      <c r="AB46" s="2183"/>
      <c r="AC46" s="2183"/>
      <c r="AD46" s="2183"/>
      <c r="AE46" s="2183"/>
      <c r="AF46" s="2184"/>
      <c r="AG46" s="2182"/>
      <c r="AH46" s="2183"/>
      <c r="AI46" s="2183"/>
      <c r="AJ46" s="2183"/>
      <c r="AK46" s="2183"/>
      <c r="AL46" s="2183"/>
      <c r="AM46" s="2183"/>
      <c r="AN46" s="2183"/>
      <c r="AO46" s="2183"/>
      <c r="AP46" s="2183"/>
      <c r="AQ46" s="2183"/>
      <c r="AR46" s="2184"/>
      <c r="AS46" s="1235" t="s">
        <v>483</v>
      </c>
      <c r="AU46" s="438"/>
      <c r="AV46" s="438" t="str">
        <f t="shared" si="1"/>
        <v>Группа потребителей</v>
      </c>
      <c r="AW46" s="438"/>
      <c r="AX46" s="438"/>
      <c r="AY46" s="1083">
        <v>23</v>
      </c>
    </row>
    <row r="47" spans="1:51" ht="24" customHeight="1">
      <c r="A47" s="1291" t="s">
        <v>254</v>
      </c>
      <c r="B47" s="1291" t="s">
        <v>255</v>
      </c>
      <c r="C47" s="1291" t="s">
        <v>256</v>
      </c>
      <c r="D47" s="1291" t="s">
        <v>541</v>
      </c>
      <c r="E47" s="2195"/>
      <c r="F47" s="2195"/>
      <c r="G47" s="2195"/>
      <c r="H47" s="2195"/>
      <c r="I47" s="2197"/>
      <c r="J47" s="2197"/>
      <c r="K47" s="2196" t="str">
        <f>J46&amp;".1"</f>
        <v>...1.1.1</v>
      </c>
      <c r="L47" s="1292"/>
      <c r="P47" s="2198"/>
      <c r="Q47" s="2198"/>
      <c r="R47" s="295">
        <v>1</v>
      </c>
      <c r="S47" s="1421" t="str">
        <f>$K47</f>
        <v>...1.1.1</v>
      </c>
      <c r="T47" s="1365"/>
      <c r="U47" s="238"/>
      <c r="V47" s="1288"/>
      <c r="W47" s="1288"/>
      <c r="X47" s="1288"/>
      <c r="Y47" s="1288"/>
      <c r="Z47" s="1288"/>
      <c r="AA47" s="1288"/>
      <c r="AB47" s="1289"/>
      <c r="AC47" s="2192"/>
      <c r="AD47" s="2191" t="s">
        <v>65</v>
      </c>
      <c r="AE47" s="2192"/>
      <c r="AF47" s="2191" t="s">
        <v>65</v>
      </c>
      <c r="AG47" s="689"/>
      <c r="AH47" s="689"/>
      <c r="AI47" s="689"/>
      <c r="AJ47" s="689"/>
      <c r="AK47" s="689"/>
      <c r="AL47" s="689"/>
      <c r="AM47" s="1185"/>
      <c r="AN47" s="2199"/>
      <c r="AO47" s="2076" t="s">
        <v>65</v>
      </c>
      <c r="AP47" s="2201"/>
      <c r="AQ47" s="2076" t="s">
        <v>19</v>
      </c>
      <c r="AR47" s="1366"/>
      <c r="AS4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254</v>
      </c>
      <c r="B48" s="1291" t="s">
        <v>255</v>
      </c>
      <c r="C48" s="1291" t="s">
        <v>256</v>
      </c>
      <c r="D48" s="1291" t="s">
        <v>541</v>
      </c>
      <c r="E48" s="2195"/>
      <c r="F48" s="2195"/>
      <c r="G48" s="2195"/>
      <c r="H48" s="2195"/>
      <c r="I48" s="2197"/>
      <c r="J48" s="2197"/>
      <c r="K48" s="2196"/>
      <c r="L48" s="1292"/>
      <c r="P48" s="2198"/>
      <c r="Q48" s="2198"/>
      <c r="R48" s="295"/>
      <c r="S48" s="1418"/>
      <c r="T48" s="238"/>
      <c r="U48" s="238"/>
      <c r="V48" s="1288"/>
      <c r="W48" s="1288"/>
      <c r="X48" s="1288"/>
      <c r="Y48" s="1288"/>
      <c r="Z48" s="1288"/>
      <c r="AA48" s="1288"/>
      <c r="AB48" s="266" t="str">
        <f>AC47&amp;"-"&amp;AE47</f>
        <v>-</v>
      </c>
      <c r="AC48" s="2191"/>
      <c r="AD48" s="2191"/>
      <c r="AE48" s="2191"/>
      <c r="AF48" s="2191"/>
      <c r="AG48" s="263"/>
      <c r="AH48" s="263"/>
      <c r="AI48" s="263"/>
      <c r="AJ48" s="263"/>
      <c r="AK48" s="263"/>
      <c r="AL48" s="263"/>
      <c r="AM48" s="266" t="str">
        <f>AN47&amp;"-"&amp;AP47</f>
        <v>-</v>
      </c>
      <c r="AN48" s="2200"/>
      <c r="AO48" s="2076"/>
      <c r="AP48" s="2202"/>
      <c r="AQ48" s="2076"/>
      <c r="AR48" s="1367"/>
      <c r="AS48" s="2268"/>
      <c r="AU48" s="438"/>
      <c r="AV48" s="438" t="str">
        <f t="shared" si="1"/>
        <v/>
      </c>
      <c r="AW48" s="438"/>
      <c r="AX48" s="438"/>
      <c r="AY48" s="1083">
        <v>0</v>
      </c>
    </row>
    <row r="49" spans="1:51" ht="21" customHeight="1">
      <c r="A49" s="1291" t="s">
        <v>254</v>
      </c>
      <c r="B49" s="1291" t="s">
        <v>255</v>
      </c>
      <c r="C49" s="1291" t="s">
        <v>256</v>
      </c>
      <c r="D49" s="1291" t="s">
        <v>541</v>
      </c>
      <c r="E49" s="2195"/>
      <c r="F49" s="2195"/>
      <c r="G49" s="2195"/>
      <c r="H49" s="2195"/>
      <c r="I49" s="2197"/>
      <c r="J49" s="2196"/>
      <c r="K49" s="1291"/>
      <c r="L49" s="1292"/>
      <c r="P49" s="2198"/>
      <c r="Q49" s="2198"/>
      <c r="R49" s="294"/>
      <c r="S49" s="1206"/>
      <c r="T49" s="225" t="s">
        <v>484</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485</v>
      </c>
      <c r="AU49" s="438"/>
      <c r="AV49" s="438" t="str">
        <f t="shared" si="1"/>
        <v>Добавить значение признака дифференциации</v>
      </c>
      <c r="AW49" s="438"/>
      <c r="AX49" s="438"/>
      <c r="AY49" s="1083">
        <v>20</v>
      </c>
    </row>
    <row r="50" spans="1:51" ht="21.95" customHeight="1">
      <c r="A50" s="1291" t="s">
        <v>254</v>
      </c>
      <c r="B50" s="1291" t="s">
        <v>255</v>
      </c>
      <c r="C50" s="1291" t="s">
        <v>256</v>
      </c>
      <c r="D50" s="1291" t="s">
        <v>541</v>
      </c>
      <c r="E50" s="2195"/>
      <c r="F50" s="2195"/>
      <c r="G50" s="2195"/>
      <c r="H50" s="2195"/>
      <c r="I50" s="2196"/>
      <c r="J50" s="1291"/>
      <c r="K50" s="1291"/>
      <c r="L50" s="1292"/>
      <c r="P50" s="2198"/>
      <c r="Q50" s="1409"/>
      <c r="R50" s="294"/>
      <c r="S50" s="1206"/>
      <c r="T50" s="303" t="s">
        <v>410</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254</v>
      </c>
      <c r="B51" s="1291" t="s">
        <v>255</v>
      </c>
      <c r="C51" s="1291" t="s">
        <v>256</v>
      </c>
      <c r="D51" s="1291" t="s">
        <v>541</v>
      </c>
      <c r="E51" s="2195"/>
      <c r="F51" s="2195"/>
      <c r="G51" s="2195"/>
      <c r="H51" s="2194"/>
      <c r="I51" s="1291"/>
      <c r="J51" s="1291"/>
      <c r="K51" s="1291"/>
      <c r="L51" s="1292"/>
      <c r="M51" s="1293"/>
      <c r="N51" s="1293"/>
      <c r="O51" s="475"/>
      <c r="P51" s="298"/>
      <c r="Q51" s="313"/>
      <c r="R51" s="293"/>
      <c r="S51" s="1206"/>
      <c r="T51" s="310" t="s">
        <v>486</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254</v>
      </c>
      <c r="B52" s="1271" t="s">
        <v>255</v>
      </c>
      <c r="C52" s="1242"/>
      <c r="D52" s="1242"/>
      <c r="E52" s="2195"/>
      <c r="F52" s="2194"/>
      <c r="G52" s="1242"/>
      <c r="H52" s="1242"/>
      <c r="I52" s="1242"/>
      <c r="J52" s="1242"/>
      <c r="K52" s="1242"/>
      <c r="L52" s="1422"/>
      <c r="M52" s="1249"/>
      <c r="N52" s="1249"/>
      <c r="P52" s="1244"/>
      <c r="Q52" s="1245"/>
      <c r="R52" s="1244"/>
      <c r="S52" s="1250"/>
      <c r="T52" s="1253" t="s">
        <v>413</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254</v>
      </c>
      <c r="B53" s="1271"/>
      <c r="C53" s="1271"/>
      <c r="D53" s="1271"/>
      <c r="E53" s="2194"/>
      <c r="F53" s="1271"/>
      <c r="G53" s="1271"/>
      <c r="H53" s="1271"/>
      <c r="I53" s="1271"/>
      <c r="J53" s="1271"/>
      <c r="K53" s="1271"/>
      <c r="L53" s="1274"/>
      <c r="M53" s="1249"/>
      <c r="N53" s="1249"/>
      <c r="O53" s="456"/>
      <c r="P53" s="318"/>
      <c r="Q53" s="1272"/>
      <c r="R53" s="318"/>
      <c r="S53" s="1250"/>
      <c r="T53" s="1253" t="s">
        <v>414</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446</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93"/>
      <c r="U56" s="2193"/>
      <c r="V56" s="2193"/>
      <c r="W56" s="2193"/>
      <c r="X56" s="2193"/>
      <c r="Y56" s="2193"/>
      <c r="Z56" s="2193"/>
      <c r="AA56" s="2193"/>
      <c r="AB56" s="2193"/>
      <c r="AC56" s="2193"/>
      <c r="AD56" s="2193"/>
      <c r="AE56" s="2193"/>
      <c r="AF56" s="2193"/>
      <c r="AG56" s="2193"/>
      <c r="AH56" s="2193"/>
      <c r="AI56" s="2193"/>
      <c r="AJ56" s="2193"/>
      <c r="AK56" s="2193"/>
      <c r="AL56" s="2193"/>
      <c r="AM56" s="2193"/>
      <c r="AN56" s="2193"/>
      <c r="AO56" s="2193"/>
      <c r="AP56" s="2193"/>
      <c r="AQ56" s="2193"/>
      <c r="AR56" s="2193"/>
      <c r="AS56" s="2193"/>
      <c r="AY56" s="1083">
        <v>14</v>
      </c>
    </row>
    <row r="57" spans="1:51" ht="14.65" customHeight="1">
      <c r="O57" s="475"/>
      <c r="AY57" s="1083">
        <v>14</v>
      </c>
    </row>
    <row r="58" spans="1:51" ht="14.65" customHeight="1">
      <c r="O58" s="475"/>
      <c r="S58" s="1181"/>
      <c r="T58" s="2193"/>
      <c r="U58" s="2193"/>
      <c r="V58" s="2193"/>
      <c r="W58" s="2193"/>
      <c r="X58" s="2193"/>
      <c r="Y58" s="2193"/>
      <c r="Z58" s="2193"/>
      <c r="AA58" s="2193"/>
      <c r="AB58" s="2193"/>
      <c r="AC58" s="2193"/>
      <c r="AD58" s="2193"/>
      <c r="AE58" s="2193"/>
      <c r="AF58" s="2193"/>
      <c r="AG58" s="2193"/>
      <c r="AH58" s="2193"/>
      <c r="AI58" s="2193"/>
      <c r="AJ58" s="2193"/>
      <c r="AK58" s="2193"/>
      <c r="AL58" s="2193"/>
      <c r="AM58" s="2193"/>
      <c r="AN58" s="2193"/>
      <c r="AO58" s="2193"/>
      <c r="AP58" s="2193"/>
      <c r="AQ58" s="2193"/>
      <c r="AR58" s="2193"/>
      <c r="AS58" s="2193"/>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94">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189"/>
      <c r="W2" s="2189"/>
      <c r="X2" s="2189"/>
      <c r="Y2" s="2189"/>
      <c r="Z2" s="2189"/>
      <c r="AA2" s="2189"/>
      <c r="AB2" s="2189"/>
      <c r="AC2" s="2190"/>
      <c r="AD2" s="2188" t="e">
        <f>INDEX(PT_DIFFERENTIATION_NTAR,MATCH(A2,PT_DIFFERENTIATION_NTAR_ID,0))</f>
        <v>#N/A</v>
      </c>
      <c r="AE2" s="2189"/>
      <c r="AF2" s="2189"/>
      <c r="AG2" s="2189"/>
      <c r="AH2" s="2189"/>
      <c r="AI2" s="2189"/>
      <c r="AJ2" s="2189"/>
      <c r="AK2" s="2189"/>
      <c r="AL2" s="2189"/>
      <c r="AM2" s="2189"/>
      <c r="AN2" s="2189"/>
      <c r="AO2" s="2189"/>
      <c r="AP2" s="2189"/>
      <c r="AQ2" s="2189"/>
      <c r="AR2" s="2189"/>
      <c r="AS2" s="2189"/>
      <c r="AT2" s="2189"/>
      <c r="AU2" s="2189"/>
      <c r="AV2" s="2189"/>
      <c r="AW2" s="2189"/>
      <c r="AX2" s="2189"/>
      <c r="AY2" s="2189"/>
      <c r="AZ2" s="2189"/>
      <c r="BA2" s="2189"/>
      <c r="BB2" s="2190"/>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95"/>
      <c r="F3" s="2194">
        <v>1</v>
      </c>
      <c r="G3" s="1291"/>
      <c r="H3" s="1291"/>
      <c r="I3" s="1291"/>
      <c r="J3" s="1291"/>
      <c r="K3" s="1291"/>
      <c r="L3" s="1292"/>
      <c r="M3" s="1293"/>
      <c r="N3" s="1293"/>
      <c r="O3" s="1293"/>
      <c r="P3" s="1338"/>
      <c r="Q3" s="1339"/>
      <c r="R3" s="291"/>
      <c r="S3" s="1421" t="e">
        <f>INDEX(PT_DIFFERENTIATION_NUM_TER,MATCH(B3,PT_DIFFERENTIATION_TER_ID,0))</f>
        <v>#N/A</v>
      </c>
      <c r="T3" s="246" t="s">
        <v>395</v>
      </c>
      <c r="U3" s="238"/>
      <c r="V3" s="2189"/>
      <c r="W3" s="2189"/>
      <c r="X3" s="2189"/>
      <c r="Y3" s="2189"/>
      <c r="Z3" s="2189"/>
      <c r="AA3" s="2189"/>
      <c r="AB3" s="2189"/>
      <c r="AC3" s="2190"/>
      <c r="AD3" s="2188" t="e">
        <f>INDEX(PT_DIFFERENTIATION_TER,MATCH(B3,PT_DIFFERENTIATION_TER_ID,0))</f>
        <v>#N/A</v>
      </c>
      <c r="AE3" s="2189"/>
      <c r="AF3" s="2189"/>
      <c r="AG3" s="2189"/>
      <c r="AH3" s="2189"/>
      <c r="AI3" s="2189"/>
      <c r="AJ3" s="2189"/>
      <c r="AK3" s="2189"/>
      <c r="AL3" s="2189"/>
      <c r="AM3" s="2189"/>
      <c r="AN3" s="2189"/>
      <c r="AO3" s="2189"/>
      <c r="AP3" s="2189"/>
      <c r="AQ3" s="2189"/>
      <c r="AR3" s="2189"/>
      <c r="AS3" s="2189"/>
      <c r="AT3" s="2189"/>
      <c r="AU3" s="2189"/>
      <c r="AV3" s="2189"/>
      <c r="AW3" s="2189"/>
      <c r="AX3" s="2189"/>
      <c r="AY3" s="2189"/>
      <c r="AZ3" s="2189"/>
      <c r="BA3" s="2189"/>
      <c r="BB3" s="2190"/>
      <c r="BC3" s="1186" t="s">
        <v>396</v>
      </c>
      <c r="BE3" s="438"/>
      <c r="BF3" s="438" t="str">
        <f t="shared" si="0"/>
        <v>Территория действия тарифа</v>
      </c>
      <c r="BG3" s="438"/>
      <c r="BH3" s="438"/>
      <c r="BI3" s="1083">
        <v>0</v>
      </c>
    </row>
    <row r="4" spans="1:61" ht="33.75" hidden="1" customHeight="1">
      <c r="A4" s="1291"/>
      <c r="B4" s="1291"/>
      <c r="C4" s="1291"/>
      <c r="D4" s="1291"/>
      <c r="E4" s="2195"/>
      <c r="F4" s="2195"/>
      <c r="G4" s="2194">
        <v>1</v>
      </c>
      <c r="H4" s="1291"/>
      <c r="I4" s="1291"/>
      <c r="J4" s="1291"/>
      <c r="K4" s="1291"/>
      <c r="L4" s="1292"/>
      <c r="M4" s="1293"/>
      <c r="N4" s="1293"/>
      <c r="O4" s="1293"/>
      <c r="P4" s="1340"/>
      <c r="Q4" s="1339"/>
      <c r="R4" s="291"/>
      <c r="S4" s="1421" t="e">
        <f>INDEX(PT_DIFFERENTIATION_NUM_CS,MATCH(C4,PT_DIFFERENTIATION_CS_ID,0))</f>
        <v>#N/A</v>
      </c>
      <c r="T4" s="247" t="s">
        <v>528</v>
      </c>
      <c r="U4" s="238"/>
      <c r="V4" s="2189"/>
      <c r="W4" s="2189"/>
      <c r="X4" s="2189"/>
      <c r="Y4" s="2189"/>
      <c r="Z4" s="2189"/>
      <c r="AA4" s="2189"/>
      <c r="AB4" s="2189"/>
      <c r="AC4" s="2190"/>
      <c r="AD4" s="2188" t="e">
        <f>INDEX(PT_DIFFERENTIATION_CS,MATCH(C4,PT_DIFFERENTIATION_CS_ID,0))</f>
        <v>#N/A</v>
      </c>
      <c r="AE4" s="2189"/>
      <c r="AF4" s="2189"/>
      <c r="AG4" s="2189"/>
      <c r="AH4" s="2189"/>
      <c r="AI4" s="2189"/>
      <c r="AJ4" s="2189"/>
      <c r="AK4" s="2189"/>
      <c r="AL4" s="2189"/>
      <c r="AM4" s="2189"/>
      <c r="AN4" s="2189"/>
      <c r="AO4" s="2189"/>
      <c r="AP4" s="2189"/>
      <c r="AQ4" s="2189"/>
      <c r="AR4" s="2189"/>
      <c r="AS4" s="2189"/>
      <c r="AT4" s="2189"/>
      <c r="AU4" s="2189"/>
      <c r="AV4" s="2189"/>
      <c r="AW4" s="2189"/>
      <c r="AX4" s="2189"/>
      <c r="AY4" s="2189"/>
      <c r="AZ4" s="2189"/>
      <c r="BA4" s="2189"/>
      <c r="BB4" s="2190"/>
      <c r="BC4" s="1186" t="s">
        <v>529</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195"/>
      <c r="F5" s="2195"/>
      <c r="G5" s="2195"/>
      <c r="H5" s="2194">
        <v>1</v>
      </c>
      <c r="I5" s="1271"/>
      <c r="J5" s="1271"/>
      <c r="K5" s="1271"/>
      <c r="L5" s="1274"/>
      <c r="M5" s="1243"/>
      <c r="N5" s="1243"/>
      <c r="O5" s="1243"/>
      <c r="P5" s="1425"/>
      <c r="Q5" s="1426"/>
      <c r="R5" s="295"/>
      <c r="S5" s="973"/>
      <c r="T5" s="1427"/>
      <c r="U5" s="1312"/>
      <c r="V5" s="2226"/>
      <c r="W5" s="2226"/>
      <c r="X5" s="2226"/>
      <c r="Y5" s="2226"/>
      <c r="Z5" s="2226"/>
      <c r="AA5" s="2226"/>
      <c r="AB5" s="2226"/>
      <c r="AC5" s="2227"/>
      <c r="AD5" s="2225"/>
      <c r="AE5" s="2226"/>
      <c r="AF5" s="2226"/>
      <c r="AG5" s="2226"/>
      <c r="AH5" s="2226"/>
      <c r="AI5" s="2226"/>
      <c r="AJ5" s="2226"/>
      <c r="AK5" s="2226"/>
      <c r="AL5" s="2226"/>
      <c r="AM5" s="2226"/>
      <c r="AN5" s="2226"/>
      <c r="AO5" s="2226"/>
      <c r="AP5" s="2226"/>
      <c r="AQ5" s="2226"/>
      <c r="AR5" s="2226"/>
      <c r="AS5" s="2226"/>
      <c r="AT5" s="2226"/>
      <c r="AU5" s="2226"/>
      <c r="AV5" s="2226"/>
      <c r="AW5" s="2226"/>
      <c r="AX5" s="2226"/>
      <c r="AY5" s="2226"/>
      <c r="AZ5" s="2226"/>
      <c r="BA5" s="2226"/>
      <c r="BB5" s="2227"/>
      <c r="BC5" s="1313" t="s">
        <v>400</v>
      </c>
      <c r="BE5" s="438"/>
      <c r="BF5" s="438" t="str">
        <f t="shared" si="0"/>
        <v/>
      </c>
      <c r="BG5" s="438"/>
      <c r="BH5" s="438"/>
      <c r="BI5" s="449">
        <v>0</v>
      </c>
    </row>
    <row r="6" spans="1:61" s="1570" customFormat="1" ht="14.25" hidden="1" customHeight="1">
      <c r="A6" s="1271"/>
      <c r="B6" s="1271"/>
      <c r="C6" s="1271"/>
      <c r="D6" s="1271"/>
      <c r="E6" s="2195"/>
      <c r="F6" s="2195"/>
      <c r="G6" s="2195"/>
      <c r="H6" s="2195"/>
      <c r="I6" s="2196" t="str">
        <f>S5&amp;".1"</f>
        <v>.1</v>
      </c>
      <c r="J6" s="1271"/>
      <c r="K6" s="1271"/>
      <c r="L6" s="1274" t="s">
        <v>401</v>
      </c>
      <c r="M6" s="448"/>
      <c r="N6" s="448"/>
      <c r="O6" s="448"/>
      <c r="P6" s="2198">
        <v>1</v>
      </c>
      <c r="Q6" s="1409"/>
      <c r="R6" s="294"/>
      <c r="S6" s="973"/>
      <c r="T6" s="1311"/>
      <c r="U6" s="1312"/>
      <c r="V6" s="2226"/>
      <c r="W6" s="2226"/>
      <c r="X6" s="2226"/>
      <c r="Y6" s="2226"/>
      <c r="Z6" s="2226"/>
      <c r="AA6" s="2226"/>
      <c r="AB6" s="2226"/>
      <c r="AC6" s="2227"/>
      <c r="AD6" s="2225"/>
      <c r="AE6" s="2226"/>
      <c r="AF6" s="2226"/>
      <c r="AG6" s="2226"/>
      <c r="AH6" s="2226"/>
      <c r="AI6" s="2226"/>
      <c r="AJ6" s="2226"/>
      <c r="AK6" s="2226"/>
      <c r="AL6" s="2226"/>
      <c r="AM6" s="2226"/>
      <c r="AN6" s="2226"/>
      <c r="AO6" s="2226"/>
      <c r="AP6" s="2226"/>
      <c r="AQ6" s="2226"/>
      <c r="AR6" s="2226"/>
      <c r="AS6" s="2226"/>
      <c r="AT6" s="2226"/>
      <c r="AU6" s="2226"/>
      <c r="AV6" s="2226"/>
      <c r="AW6" s="2226"/>
      <c r="AX6" s="2226"/>
      <c r="AY6" s="2226"/>
      <c r="AZ6" s="2226"/>
      <c r="BA6" s="2226"/>
      <c r="BB6" s="2227"/>
      <c r="BC6" s="1313"/>
      <c r="BE6" s="438"/>
      <c r="BF6" s="438" t="str">
        <f t="shared" si="0"/>
        <v/>
      </c>
      <c r="BG6" s="438"/>
      <c r="BH6" s="438"/>
      <c r="BI6" s="449">
        <v>0</v>
      </c>
    </row>
    <row r="7" spans="1:61" s="1570" customFormat="1" ht="14.25" hidden="1" customHeight="1">
      <c r="A7" s="1271"/>
      <c r="B7" s="1271"/>
      <c r="C7" s="1271"/>
      <c r="D7" s="1271"/>
      <c r="E7" s="2195"/>
      <c r="F7" s="2195"/>
      <c r="G7" s="2195"/>
      <c r="H7" s="2195"/>
      <c r="I7" s="2197"/>
      <c r="J7" s="2196" t="str">
        <f>S5&amp;".1"</f>
        <v>.1</v>
      </c>
      <c r="K7" s="1271"/>
      <c r="L7" s="1274"/>
      <c r="M7" s="448"/>
      <c r="N7" s="448"/>
      <c r="O7" s="448"/>
      <c r="P7" s="2198"/>
      <c r="Q7" s="2198">
        <v>1</v>
      </c>
      <c r="R7" s="295"/>
      <c r="S7" s="973"/>
      <c r="T7" s="1327"/>
      <c r="U7" s="1312"/>
      <c r="V7" s="2226"/>
      <c r="W7" s="2226"/>
      <c r="X7" s="2226"/>
      <c r="Y7" s="2226"/>
      <c r="Z7" s="2226"/>
      <c r="AA7" s="2226"/>
      <c r="AB7" s="2226"/>
      <c r="AC7" s="2227"/>
      <c r="AD7" s="2225"/>
      <c r="AE7" s="2226"/>
      <c r="AF7" s="2226"/>
      <c r="AG7" s="2226"/>
      <c r="AH7" s="2226"/>
      <c r="AI7" s="2226"/>
      <c r="AJ7" s="2226"/>
      <c r="AK7" s="2226"/>
      <c r="AL7" s="2226"/>
      <c r="AM7" s="2226"/>
      <c r="AN7" s="2226"/>
      <c r="AO7" s="2226"/>
      <c r="AP7" s="2226"/>
      <c r="AQ7" s="2226"/>
      <c r="AR7" s="2226"/>
      <c r="AS7" s="2226"/>
      <c r="AT7" s="2226"/>
      <c r="AU7" s="2226"/>
      <c r="AV7" s="2226"/>
      <c r="AW7" s="2226"/>
      <c r="AX7" s="2226"/>
      <c r="AY7" s="2226"/>
      <c r="AZ7" s="2226"/>
      <c r="BA7" s="2226"/>
      <c r="BB7" s="2227"/>
      <c r="BC7" s="1313"/>
      <c r="BE7" s="438"/>
      <c r="BF7" s="438" t="str">
        <f t="shared" si="0"/>
        <v/>
      </c>
      <c r="BG7" s="438"/>
      <c r="BH7" s="438"/>
      <c r="BI7" s="449">
        <v>0</v>
      </c>
    </row>
    <row r="8" spans="1:61" ht="11.25" hidden="1" customHeight="1">
      <c r="A8" s="1291"/>
      <c r="B8" s="1291"/>
      <c r="C8" s="1291"/>
      <c r="D8" s="1291"/>
      <c r="E8" s="2195"/>
      <c r="F8" s="2195"/>
      <c r="G8" s="2195"/>
      <c r="H8" s="2195"/>
      <c r="I8" s="2197"/>
      <c r="J8" s="2197"/>
      <c r="K8" s="2196" t="e">
        <f>S4&amp;".1"</f>
        <v>#N/A</v>
      </c>
      <c r="L8" s="1292"/>
      <c r="P8" s="2198"/>
      <c r="Q8" s="2198"/>
      <c r="R8" s="2254">
        <v>1</v>
      </c>
      <c r="S8" s="2251" t="e">
        <f>$K8</f>
        <v>#N/A</v>
      </c>
      <c r="T8" s="2271"/>
      <c r="U8" s="238"/>
      <c r="V8" s="689"/>
      <c r="W8" s="1185"/>
      <c r="X8" s="689"/>
      <c r="Y8" s="1185"/>
      <c r="Z8" s="1661"/>
      <c r="AA8" s="1397" t="s">
        <v>65</v>
      </c>
      <c r="AB8" s="1661"/>
      <c r="AC8" s="1397" t="s">
        <v>65</v>
      </c>
      <c r="AD8" s="2138" t="s">
        <v>65</v>
      </c>
      <c r="AE8" s="2247"/>
      <c r="AF8" s="2151">
        <v>1</v>
      </c>
      <c r="AG8" s="2270"/>
      <c r="AH8" s="2076" t="s">
        <v>65</v>
      </c>
      <c r="AI8" s="2247"/>
      <c r="AJ8" s="2151">
        <v>1</v>
      </c>
      <c r="AK8" s="2261" t="s">
        <v>22</v>
      </c>
      <c r="AL8" s="2076" t="s">
        <v>65</v>
      </c>
      <c r="AM8" s="2126"/>
      <c r="AN8" s="2151">
        <v>1</v>
      </c>
      <c r="AO8" s="2274"/>
      <c r="AP8" s="2275" t="s">
        <v>65</v>
      </c>
      <c r="AQ8" s="249"/>
      <c r="AR8" s="1414">
        <v>1</v>
      </c>
      <c r="AS8" s="1420" t="s">
        <v>22</v>
      </c>
      <c r="AT8" s="689"/>
      <c r="AU8" s="1185"/>
      <c r="AV8" s="689"/>
      <c r="AW8" s="1185"/>
      <c r="AX8" s="1661"/>
      <c r="AY8" s="1397" t="s">
        <v>65</v>
      </c>
      <c r="AZ8" s="1661"/>
      <c r="BA8" s="1397" t="s">
        <v>65</v>
      </c>
      <c r="BB8" s="1276"/>
      <c r="BC8" s="2217" t="s">
        <v>499</v>
      </c>
      <c r="BE8" s="438"/>
      <c r="BF8" s="438" t="str">
        <f t="shared" si="0"/>
        <v/>
      </c>
      <c r="BG8" s="438"/>
      <c r="BH8" s="438"/>
      <c r="BI8" s="1083">
        <v>0</v>
      </c>
    </row>
    <row r="9" spans="1:61" ht="11.25" hidden="1" customHeight="1">
      <c r="A9" s="1291"/>
      <c r="B9" s="1291"/>
      <c r="C9" s="1291"/>
      <c r="D9" s="1291"/>
      <c r="E9" s="2195"/>
      <c r="F9" s="2195"/>
      <c r="G9" s="2195"/>
      <c r="H9" s="2195"/>
      <c r="I9" s="2197"/>
      <c r="J9" s="2197"/>
      <c r="K9" s="2196"/>
      <c r="L9" s="1292"/>
      <c r="P9" s="2198"/>
      <c r="Q9" s="2198"/>
      <c r="R9" s="2254"/>
      <c r="S9" s="2252"/>
      <c r="T9" s="2272"/>
      <c r="U9" s="238"/>
      <c r="V9" s="1321"/>
      <c r="W9" s="1424"/>
      <c r="X9" s="1321"/>
      <c r="Y9" s="1424"/>
      <c r="Z9" s="1321"/>
      <c r="AA9" s="1321"/>
      <c r="AB9" s="1321"/>
      <c r="AC9" s="1321"/>
      <c r="AD9" s="2139"/>
      <c r="AE9" s="2247"/>
      <c r="AF9" s="2151"/>
      <c r="AG9" s="2270"/>
      <c r="AH9" s="2076"/>
      <c r="AI9" s="2247"/>
      <c r="AJ9" s="2151"/>
      <c r="AK9" s="2261"/>
      <c r="AL9" s="2076"/>
      <c r="AM9" s="2131"/>
      <c r="AN9" s="2151"/>
      <c r="AO9" s="2274"/>
      <c r="AP9" s="2276"/>
      <c r="AQ9" s="254"/>
      <c r="AR9" s="354"/>
      <c r="AS9" s="354" t="s">
        <v>500</v>
      </c>
      <c r="AT9" s="1321"/>
      <c r="AU9" s="1424"/>
      <c r="AV9" s="1321"/>
      <c r="AW9" s="1424"/>
      <c r="AX9" s="1321"/>
      <c r="AY9" s="1321"/>
      <c r="AZ9" s="1321"/>
      <c r="BA9" s="1321"/>
      <c r="BB9" s="1325"/>
      <c r="BC9" s="2218"/>
      <c r="BE9" s="438"/>
      <c r="BF9" s="438"/>
      <c r="BG9" s="438"/>
      <c r="BH9" s="438"/>
      <c r="BI9" s="1083">
        <v>0</v>
      </c>
    </row>
    <row r="10" spans="1:61" ht="11.25" hidden="1" customHeight="1">
      <c r="A10" s="1291"/>
      <c r="B10" s="1291"/>
      <c r="C10" s="1291"/>
      <c r="D10" s="1291"/>
      <c r="E10" s="2195"/>
      <c r="F10" s="2195"/>
      <c r="G10" s="2195"/>
      <c r="H10" s="2195"/>
      <c r="I10" s="2197"/>
      <c r="J10" s="2197"/>
      <c r="K10" s="2196"/>
      <c r="L10" s="1292"/>
      <c r="P10" s="2198"/>
      <c r="Q10" s="2198"/>
      <c r="R10" s="2254"/>
      <c r="S10" s="2252"/>
      <c r="T10" s="2272"/>
      <c r="U10" s="238"/>
      <c r="V10" s="1321"/>
      <c r="W10" s="1424"/>
      <c r="X10" s="1321"/>
      <c r="Y10" s="1424"/>
      <c r="Z10" s="1321"/>
      <c r="AA10" s="1321"/>
      <c r="AB10" s="1321"/>
      <c r="AC10" s="1321"/>
      <c r="AD10" s="2139"/>
      <c r="AE10" s="2247"/>
      <c r="AF10" s="2151"/>
      <c r="AG10" s="2270"/>
      <c r="AH10" s="2076"/>
      <c r="AI10" s="2247"/>
      <c r="AJ10" s="2151"/>
      <c r="AK10" s="2261"/>
      <c r="AL10" s="2076"/>
      <c r="AM10" s="254"/>
      <c r="AN10" s="1428"/>
      <c r="AO10" s="1428" t="s">
        <v>501</v>
      </c>
      <c r="AP10" s="354"/>
      <c r="AQ10" s="354"/>
      <c r="AR10" s="354"/>
      <c r="AS10" s="1321"/>
      <c r="AT10" s="1321"/>
      <c r="AU10" s="1424"/>
      <c r="AV10" s="1321"/>
      <c r="AW10" s="1424"/>
      <c r="AX10" s="1321"/>
      <c r="AY10" s="1321"/>
      <c r="AZ10" s="1321"/>
      <c r="BA10" s="1321"/>
      <c r="BB10" s="1325"/>
      <c r="BC10" s="2218"/>
      <c r="BE10" s="438"/>
      <c r="BF10" s="438"/>
      <c r="BG10" s="438"/>
      <c r="BH10" s="438"/>
      <c r="BI10" s="1083">
        <v>0</v>
      </c>
    </row>
    <row r="11" spans="1:61" ht="11.25" hidden="1" customHeight="1">
      <c r="A11" s="1291"/>
      <c r="B11" s="1291"/>
      <c r="C11" s="1291"/>
      <c r="D11" s="1291"/>
      <c r="E11" s="2195"/>
      <c r="F11" s="2195"/>
      <c r="G11" s="2195"/>
      <c r="H11" s="2195"/>
      <c r="I11" s="2197"/>
      <c r="J11" s="2197"/>
      <c r="K11" s="2196"/>
      <c r="L11" s="1292"/>
      <c r="P11" s="2198"/>
      <c r="Q11" s="2198"/>
      <c r="R11" s="2254"/>
      <c r="S11" s="2252"/>
      <c r="T11" s="2272"/>
      <c r="U11" s="238"/>
      <c r="V11" s="1321"/>
      <c r="W11" s="1424"/>
      <c r="X11" s="1321"/>
      <c r="Y11" s="1424"/>
      <c r="Z11" s="1321"/>
      <c r="AA11" s="1321"/>
      <c r="AB11" s="1321"/>
      <c r="AC11" s="1321"/>
      <c r="AD11" s="2139"/>
      <c r="AE11" s="2247"/>
      <c r="AF11" s="2151"/>
      <c r="AG11" s="2270"/>
      <c r="AH11" s="2076"/>
      <c r="AI11" s="232"/>
      <c r="AJ11" s="353"/>
      <c r="AK11" s="251" t="s">
        <v>502</v>
      </c>
      <c r="AL11" s="1321"/>
      <c r="AM11" s="1321"/>
      <c r="AN11" s="1321"/>
      <c r="AO11" s="1321"/>
      <c r="AP11" s="1321"/>
      <c r="AQ11" s="1321"/>
      <c r="AR11" s="1321"/>
      <c r="AS11" s="1321"/>
      <c r="AT11" s="1321"/>
      <c r="AU11" s="1424"/>
      <c r="AV11" s="1321"/>
      <c r="AW11" s="1424"/>
      <c r="AX11" s="1321"/>
      <c r="AY11" s="1321"/>
      <c r="AZ11" s="1321"/>
      <c r="BA11" s="1321"/>
      <c r="BB11" s="1325"/>
      <c r="BC11" s="2218"/>
      <c r="BE11" s="438"/>
      <c r="BF11" s="438"/>
      <c r="BG11" s="438"/>
      <c r="BH11" s="438"/>
      <c r="BI11" s="1083">
        <v>0</v>
      </c>
    </row>
    <row r="12" spans="1:61" ht="11.25" hidden="1" customHeight="1">
      <c r="A12" s="1291"/>
      <c r="B12" s="1291"/>
      <c r="C12" s="1291"/>
      <c r="D12" s="1291"/>
      <c r="E12" s="2195"/>
      <c r="F12" s="2195"/>
      <c r="G12" s="2195"/>
      <c r="H12" s="2195"/>
      <c r="I12" s="2197"/>
      <c r="J12" s="2197"/>
      <c r="K12" s="2196"/>
      <c r="L12" s="1292"/>
      <c r="P12" s="2198"/>
      <c r="Q12" s="2198"/>
      <c r="R12" s="2254"/>
      <c r="S12" s="2253"/>
      <c r="T12" s="2273"/>
      <c r="U12" s="238"/>
      <c r="V12" s="1321"/>
      <c r="W12" s="1322" t="str">
        <f>Z8&amp;"-"&amp;AB8</f>
        <v>-</v>
      </c>
      <c r="X12" s="1321"/>
      <c r="Y12" s="1322" t="str">
        <f>AB8&amp;"-"&amp;AD8</f>
        <v>-да</v>
      </c>
      <c r="Z12" s="1321"/>
      <c r="AA12" s="1321"/>
      <c r="AB12" s="1321"/>
      <c r="AC12" s="1321"/>
      <c r="AD12" s="2081"/>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8"/>
      <c r="BE12" s="438"/>
      <c r="BF12" s="438" t="str">
        <f t="shared" ref="BF12:BF18" si="1">IF(T12="","",T12)</f>
        <v/>
      </c>
      <c r="BG12" s="438"/>
      <c r="BH12" s="438"/>
      <c r="BI12" s="1083">
        <v>0</v>
      </c>
    </row>
    <row r="13" spans="1:61" ht="11.25" hidden="1" customHeight="1">
      <c r="A13" s="1291"/>
      <c r="B13" s="1291"/>
      <c r="C13" s="1291"/>
      <c r="D13" s="1291"/>
      <c r="E13" s="2195"/>
      <c r="F13" s="2195"/>
      <c r="G13" s="2195"/>
      <c r="H13" s="2195"/>
      <c r="I13" s="2197"/>
      <c r="J13" s="2196"/>
      <c r="K13" s="1291"/>
      <c r="L13" s="1292"/>
      <c r="P13" s="2198"/>
      <c r="Q13" s="2198"/>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19"/>
      <c r="BE13" s="438"/>
      <c r="BF13" s="438" t="str">
        <f t="shared" si="1"/>
        <v>Добавить строку</v>
      </c>
      <c r="BG13" s="438"/>
      <c r="BH13" s="438"/>
      <c r="BI13" s="1083">
        <v>0</v>
      </c>
    </row>
    <row r="14" spans="1:61" s="1570" customFormat="1" ht="14.25" hidden="1" customHeight="1">
      <c r="A14" s="1271"/>
      <c r="B14" s="1271"/>
      <c r="C14" s="1271"/>
      <c r="D14" s="1271"/>
      <c r="E14" s="2195"/>
      <c r="F14" s="2195"/>
      <c r="G14" s="2195"/>
      <c r="H14" s="2195"/>
      <c r="I14" s="2196"/>
      <c r="J14" s="1271"/>
      <c r="K14" s="1271"/>
      <c r="L14" s="1274"/>
      <c r="M14" s="448"/>
      <c r="N14" s="448"/>
      <c r="O14" s="448"/>
      <c r="P14" s="2198"/>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95"/>
      <c r="F15" s="2195"/>
      <c r="G15" s="2195"/>
      <c r="H15" s="2194"/>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95"/>
      <c r="F16" s="2195"/>
      <c r="G16" s="2194"/>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95"/>
      <c r="F17" s="2194"/>
      <c r="G17" s="1242"/>
      <c r="H17" s="1242"/>
      <c r="I17" s="1242"/>
      <c r="J17" s="1242"/>
      <c r="K17" s="1242"/>
      <c r="L17" s="142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94"/>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7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5"/>
      <c r="U28" s="2175"/>
      <c r="V28" s="2175"/>
      <c r="W28" s="2175"/>
      <c r="X28" s="2175"/>
      <c r="Y28" s="2175"/>
      <c r="Z28" s="2175"/>
      <c r="AA28" s="2175"/>
      <c r="AB28" s="2175"/>
      <c r="AC28" s="2175"/>
      <c r="AD28" s="2175"/>
      <c r="AE28" s="2175"/>
      <c r="AF28" s="2175"/>
      <c r="AG28" s="2175"/>
      <c r="AH28" s="2175"/>
      <c r="AI28" s="2175"/>
      <c r="AJ28" s="2175"/>
      <c r="AK28" s="2175"/>
      <c r="AL28" s="2175"/>
      <c r="AM28" s="2175"/>
      <c r="AN28" s="2175"/>
      <c r="AO28" s="2175"/>
      <c r="AP28" s="2175"/>
      <c r="AQ28" s="2175"/>
      <c r="AR28" s="2175"/>
      <c r="AS28" s="2175"/>
      <c r="AT28" s="2175"/>
      <c r="AU28" s="2175"/>
      <c r="AV28" s="2175"/>
      <c r="AW28" s="2175"/>
      <c r="AX28" s="2175"/>
      <c r="AY28" s="2175"/>
      <c r="AZ28" s="2175"/>
      <c r="BA28" s="1171"/>
      <c r="BI28" s="1083">
        <v>14</v>
      </c>
    </row>
    <row r="29" spans="1:61" ht="14.65" customHeight="1">
      <c r="Q29" s="229"/>
      <c r="R29" s="314"/>
      <c r="S29" s="2147" t="str">
        <f>IF(org=0,"Не определено",org)</f>
        <v>ООО "Профит"</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85" t="s">
        <v>42</v>
      </c>
      <c r="T31" s="2185"/>
      <c r="U31" s="1300"/>
      <c r="V31" s="2187" t="str">
        <f>IF(TITLE_NAME_OR_PR_CHANGE="",IF(TITLE_NAME_OR_PR="","",TITLE_NAME_OR_PR),TITLE_NAME_OR_PR_CHANGE)</f>
        <v/>
      </c>
      <c r="W31" s="2187"/>
      <c r="X31" s="2187"/>
      <c r="Y31" s="2187"/>
      <c r="Z31" s="2187"/>
      <c r="AA31" s="2187"/>
      <c r="AB31" s="2187"/>
      <c r="AC31" s="264"/>
      <c r="AD31" s="2187" t="str">
        <f>IF(TITLE_NAME_OR_PR_CHANGE="",IF(TITLE_NAME_OR_PR="","",TITLE_NAME_OR_PR),TITLE_NAME_OR_PR_CHANGE)</f>
        <v/>
      </c>
      <c r="AE31" s="2187"/>
      <c r="AF31" s="2187"/>
      <c r="AG31" s="2187"/>
      <c r="AH31" s="2187"/>
      <c r="AI31" s="2187"/>
      <c r="AJ31" s="2187"/>
      <c r="AK31" s="2187"/>
      <c r="AL31" s="2187"/>
      <c r="AM31" s="2187"/>
      <c r="AN31" s="2187"/>
      <c r="AO31" s="2187"/>
      <c r="AP31" s="2187"/>
      <c r="AQ31" s="2187"/>
      <c r="AR31" s="2187"/>
      <c r="AS31" s="2187"/>
      <c r="AT31" s="2187"/>
      <c r="AU31" s="2187"/>
      <c r="AV31" s="2187"/>
      <c r="AW31" s="2187"/>
      <c r="AX31" s="2187"/>
      <c r="AY31" s="2187"/>
      <c r="AZ31" s="2187"/>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5" t="s">
        <v>421</v>
      </c>
      <c r="T32" s="2185"/>
      <c r="U32" s="1300"/>
      <c r="V32" s="2186" t="str">
        <f>IF(TITLE_DATE_PR_CHANGE="",IF(TITLE_DATE_PR="","",TITLE_DATE_PR),TITLE_DATE_PR_CHANGE)</f>
        <v/>
      </c>
      <c r="W32" s="2186"/>
      <c r="X32" s="2186"/>
      <c r="Y32" s="2186"/>
      <c r="Z32" s="2186"/>
      <c r="AA32" s="2186"/>
      <c r="AB32" s="2186"/>
      <c r="AC32" s="264"/>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5" t="s">
        <v>422</v>
      </c>
      <c r="T33" s="2185"/>
      <c r="U33" s="1300"/>
      <c r="V33" s="2187" t="str">
        <f>IF(TITLE_NUMBER_PR_CHANGE="",IF(TITLE_NUMBER_PR="","",TITLE_NUMBER_PR),TITLE_NUMBER_PR_CHANGE)</f>
        <v/>
      </c>
      <c r="W33" s="2187"/>
      <c r="X33" s="2187"/>
      <c r="Y33" s="2187"/>
      <c r="Z33" s="2187"/>
      <c r="AA33" s="2187"/>
      <c r="AB33" s="2187"/>
      <c r="AC33" s="264"/>
      <c r="AD33" s="2187" t="str">
        <f>IF(TITLE_NUMBER_PR_CHANGE="",IF(TITLE_NUMBER_PR="","",TITLE_NUMBER_PR),TITLE_NUMBER_PR_CHANGE)</f>
        <v/>
      </c>
      <c r="AE33" s="2187"/>
      <c r="AF33" s="2187"/>
      <c r="AG33" s="2187"/>
      <c r="AH33" s="2187"/>
      <c r="AI33" s="2187"/>
      <c r="AJ33" s="2187"/>
      <c r="AK33" s="2187"/>
      <c r="AL33" s="2187"/>
      <c r="AM33" s="2187"/>
      <c r="AN33" s="2187"/>
      <c r="AO33" s="2187"/>
      <c r="AP33" s="2187"/>
      <c r="AQ33" s="2187"/>
      <c r="AR33" s="2187"/>
      <c r="AS33" s="2187"/>
      <c r="AT33" s="2187"/>
      <c r="AU33" s="2187"/>
      <c r="AV33" s="2187"/>
      <c r="AW33" s="2187"/>
      <c r="AX33" s="2187"/>
      <c r="AY33" s="2187"/>
      <c r="AZ33" s="2187"/>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85" t="s">
        <v>43</v>
      </c>
      <c r="T34" s="2185"/>
      <c r="U34" s="1300"/>
      <c r="V34" s="2187" t="str">
        <f>IF(TITLE_IST_PUB_CHANGE="",IF(TITLE_IST_PUB="","",TITLE_IST_PUB),TITLE_IST_PUB_CHANGE)</f>
        <v/>
      </c>
      <c r="W34" s="2187"/>
      <c r="X34" s="2187"/>
      <c r="Y34" s="2187"/>
      <c r="Z34" s="2187"/>
      <c r="AA34" s="2187"/>
      <c r="AB34" s="2187"/>
      <c r="AC34" s="264"/>
      <c r="AD34" s="2187" t="str">
        <f>IF(TITLE_IST_PUB_CHANGE="",IF(TITLE_IST_PUB="","",TITLE_IST_PUB),TITLE_IST_PUB_CHANGE)</f>
        <v/>
      </c>
      <c r="AE34" s="2187"/>
      <c r="AF34" s="2187"/>
      <c r="AG34" s="2187"/>
      <c r="AH34" s="2187"/>
      <c r="AI34" s="2187"/>
      <c r="AJ34" s="2187"/>
      <c r="AK34" s="2187"/>
      <c r="AL34" s="2187"/>
      <c r="AM34" s="2187"/>
      <c r="AN34" s="2187"/>
      <c r="AO34" s="2187"/>
      <c r="AP34" s="2187"/>
      <c r="AQ34" s="2187"/>
      <c r="AR34" s="2187"/>
      <c r="AS34" s="2187"/>
      <c r="AT34" s="2187"/>
      <c r="AU34" s="2187"/>
      <c r="AV34" s="2187"/>
      <c r="AW34" s="2187"/>
      <c r="AX34" s="2187"/>
      <c r="AY34" s="2187"/>
      <c r="AZ34" s="2187"/>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85" t="s">
        <v>421</v>
      </c>
      <c r="T36" s="2185"/>
      <c r="U36" s="1300"/>
      <c r="V36" s="2186" t="str">
        <f>IF(TITLE_DATE_PR_CHANGE="",IF(TITLE_DATE_PR="","",TITLE_DATE_PR),TITLE_DATE_PR_CHANGE)</f>
        <v/>
      </c>
      <c r="W36" s="2186"/>
      <c r="X36" s="2186"/>
      <c r="Y36" s="2186"/>
      <c r="Z36" s="2186"/>
      <c r="AA36" s="2186"/>
      <c r="AB36" s="2186"/>
      <c r="AC36" s="264"/>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85" t="s">
        <v>422</v>
      </c>
      <c r="T37" s="2185"/>
      <c r="U37" s="1300"/>
      <c r="V37" s="2187" t="str">
        <f>IF(TITLE_NUMBER_PR_CHANGE="",IF(TITLE_NUMBER_PR="","",TITLE_NUMBER_PR),TITLE_NUMBER_PR_CHANGE)</f>
        <v/>
      </c>
      <c r="W37" s="2187"/>
      <c r="X37" s="2187"/>
      <c r="Y37" s="2187"/>
      <c r="Z37" s="2187"/>
      <c r="AA37" s="2187"/>
      <c r="AB37" s="2187"/>
      <c r="AC37" s="264"/>
      <c r="AD37" s="2187" t="str">
        <f>IF(TITLE_NUMBER_PR_CHANGE="",IF(TITLE_NUMBER_PR="","",TITLE_NUMBER_PR),TITLE_NUMBER_PR_CHANGE)</f>
        <v/>
      </c>
      <c r="AE37" s="2187"/>
      <c r="AF37" s="2187"/>
      <c r="AG37" s="2187"/>
      <c r="AH37" s="2187"/>
      <c r="AI37" s="2187"/>
      <c r="AJ37" s="2187"/>
      <c r="AK37" s="2187"/>
      <c r="AL37" s="2187"/>
      <c r="AM37" s="2187"/>
      <c r="AN37" s="2187"/>
      <c r="AO37" s="2187"/>
      <c r="AP37" s="2187"/>
      <c r="AQ37" s="2187"/>
      <c r="AR37" s="2187"/>
      <c r="AS37" s="2187"/>
      <c r="AT37" s="2187"/>
      <c r="AU37" s="2187"/>
      <c r="AV37" s="2187"/>
      <c r="AW37" s="2187"/>
      <c r="AX37" s="2187"/>
      <c r="AY37" s="2187"/>
      <c r="AZ37" s="2187"/>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206"/>
      <c r="W39" s="2206"/>
      <c r="X39" s="2206"/>
      <c r="Y39" s="2206"/>
      <c r="Z39" s="2206"/>
      <c r="AA39" s="2206"/>
      <c r="AB39" s="2206"/>
      <c r="AC39" s="2206"/>
      <c r="AD39" s="2206"/>
      <c r="AE39" s="2206"/>
      <c r="AF39" s="2206"/>
      <c r="AG39" s="2206"/>
      <c r="AH39" s="2206"/>
      <c r="AI39" s="2206"/>
      <c r="AJ39" s="2206"/>
      <c r="AK39" s="2206"/>
      <c r="AL39" s="2206"/>
      <c r="AM39" s="2206"/>
      <c r="AN39" s="2206"/>
      <c r="AO39" s="2206"/>
      <c r="AP39" s="2206"/>
      <c r="AQ39" s="2206"/>
      <c r="AR39" s="2206"/>
      <c r="AS39" s="2206"/>
      <c r="AT39" s="2206"/>
      <c r="AU39" s="2206"/>
      <c r="AV39" s="2206"/>
      <c r="AW39" s="2206"/>
      <c r="AX39" s="2206"/>
      <c r="AY39" s="2206"/>
      <c r="AZ39" s="2206"/>
      <c r="BA39" s="2206"/>
      <c r="BI39" s="1083">
        <v>14</v>
      </c>
    </row>
    <row r="40" spans="1:61" ht="14.65" customHeight="1">
      <c r="Q40" s="229"/>
      <c r="R40" s="314"/>
      <c r="S40" s="2066" t="s">
        <v>298</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299</v>
      </c>
      <c r="BI40" s="1083">
        <v>14</v>
      </c>
    </row>
    <row r="41" spans="1:61" ht="14.65" customHeight="1">
      <c r="Q41" s="229"/>
      <c r="R41" s="314"/>
      <c r="S41" s="2207" t="s">
        <v>87</v>
      </c>
      <c r="T41" s="2155" t="s">
        <v>505</v>
      </c>
      <c r="U41" s="239"/>
      <c r="V41" s="2208" t="s">
        <v>427</v>
      </c>
      <c r="W41" s="2209"/>
      <c r="X41" s="2209"/>
      <c r="Y41" s="2209"/>
      <c r="Z41" s="2209"/>
      <c r="AA41" s="2209"/>
      <c r="AB41" s="2210"/>
      <c r="AC41" s="2211" t="s">
        <v>428</v>
      </c>
      <c r="AD41" s="2240" t="s">
        <v>506</v>
      </c>
      <c r="AE41" s="2224"/>
      <c r="AF41" s="2224"/>
      <c r="AG41" s="2241"/>
      <c r="AH41" s="2240" t="s">
        <v>507</v>
      </c>
      <c r="AI41" s="2224"/>
      <c r="AJ41" s="2224"/>
      <c r="AK41" s="2241"/>
      <c r="AL41" s="2240" t="s">
        <v>508</v>
      </c>
      <c r="AM41" s="2224"/>
      <c r="AN41" s="2224"/>
      <c r="AO41" s="2241"/>
      <c r="AP41" s="2240" t="s">
        <v>509</v>
      </c>
      <c r="AQ41" s="2224"/>
      <c r="AR41" s="2224"/>
      <c r="AS41" s="2241"/>
      <c r="AT41" s="2208" t="s">
        <v>427</v>
      </c>
      <c r="AU41" s="2209"/>
      <c r="AV41" s="2209"/>
      <c r="AW41" s="2209"/>
      <c r="AX41" s="2209"/>
      <c r="AY41" s="2209"/>
      <c r="AZ41" s="2210"/>
      <c r="BA41" s="2211" t="s">
        <v>428</v>
      </c>
      <c r="BB41" s="2214" t="s">
        <v>430</v>
      </c>
      <c r="BC41" s="2066"/>
      <c r="BI41" s="1083">
        <v>14</v>
      </c>
    </row>
    <row r="42" spans="1:61" ht="35.65" customHeight="1">
      <c r="Q42" s="229"/>
      <c r="R42" s="314"/>
      <c r="S42" s="2207"/>
      <c r="T42" s="2155"/>
      <c r="U42" s="962"/>
      <c r="V42" s="2126" t="s">
        <v>510</v>
      </c>
      <c r="W42" s="2127"/>
      <c r="X42" s="2126" t="s">
        <v>511</v>
      </c>
      <c r="Y42" s="2127"/>
      <c r="Z42" s="2126" t="s">
        <v>512</v>
      </c>
      <c r="AA42" s="2236"/>
      <c r="AB42" s="2127"/>
      <c r="AC42" s="2212"/>
      <c r="AD42" s="2242"/>
      <c r="AE42" s="2243"/>
      <c r="AF42" s="2243"/>
      <c r="AG42" s="2255"/>
      <c r="AH42" s="2242"/>
      <c r="AI42" s="2243"/>
      <c r="AJ42" s="2243"/>
      <c r="AK42" s="2255"/>
      <c r="AL42" s="2242"/>
      <c r="AM42" s="2243"/>
      <c r="AN42" s="2243"/>
      <c r="AO42" s="2255"/>
      <c r="AP42" s="2242"/>
      <c r="AQ42" s="2243"/>
      <c r="AR42" s="2243"/>
      <c r="AS42" s="2255"/>
      <c r="AT42" s="2126" t="s">
        <v>510</v>
      </c>
      <c r="AU42" s="2127"/>
      <c r="AV42" s="2126" t="s">
        <v>511</v>
      </c>
      <c r="AW42" s="2127"/>
      <c r="AX42" s="2126" t="s">
        <v>512</v>
      </c>
      <c r="AY42" s="2236"/>
      <c r="AZ42" s="2127"/>
      <c r="BA42" s="2212"/>
      <c r="BB42" s="2215"/>
      <c r="BC42" s="2066"/>
      <c r="BI42" s="1083">
        <v>34</v>
      </c>
    </row>
    <row r="43" spans="1:61" ht="14.65" customHeight="1">
      <c r="Q43" s="229"/>
      <c r="R43" s="314"/>
      <c r="S43" s="2207"/>
      <c r="T43" s="2155"/>
      <c r="U43" s="962"/>
      <c r="V43" s="2131"/>
      <c r="W43" s="2132"/>
      <c r="X43" s="2131"/>
      <c r="Y43" s="2132"/>
      <c r="Z43" s="2131"/>
      <c r="AA43" s="2237"/>
      <c r="AB43" s="2132"/>
      <c r="AC43" s="2212"/>
      <c r="AD43" s="2242"/>
      <c r="AE43" s="2243"/>
      <c r="AF43" s="2243"/>
      <c r="AG43" s="2255"/>
      <c r="AH43" s="2242"/>
      <c r="AI43" s="2243"/>
      <c r="AJ43" s="2243"/>
      <c r="AK43" s="2255"/>
      <c r="AL43" s="2242"/>
      <c r="AM43" s="2243"/>
      <c r="AN43" s="2243"/>
      <c r="AO43" s="2255"/>
      <c r="AP43" s="2242"/>
      <c r="AQ43" s="2243"/>
      <c r="AR43" s="2243"/>
      <c r="AS43" s="2255"/>
      <c r="AT43" s="2131"/>
      <c r="AU43" s="2132"/>
      <c r="AV43" s="2131"/>
      <c r="AW43" s="2132"/>
      <c r="AX43" s="2131"/>
      <c r="AY43" s="2237"/>
      <c r="AZ43" s="2132"/>
      <c r="BA43" s="2212"/>
      <c r="BB43" s="2215"/>
      <c r="BC43" s="2066"/>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207"/>
      <c r="T44" s="2155"/>
      <c r="U44" s="240"/>
      <c r="V44" s="1407" t="s">
        <v>476</v>
      </c>
      <c r="W44" s="1407" t="s">
        <v>477</v>
      </c>
      <c r="X44" s="1407" t="s">
        <v>476</v>
      </c>
      <c r="Y44" s="1407" t="s">
        <v>477</v>
      </c>
      <c r="Z44" s="1417" t="s">
        <v>444</v>
      </c>
      <c r="AA44" s="2160" t="s">
        <v>445</v>
      </c>
      <c r="AB44" s="2174"/>
      <c r="AC44" s="2213"/>
      <c r="AD44" s="2244"/>
      <c r="AE44" s="2245"/>
      <c r="AF44" s="2245"/>
      <c r="AG44" s="2246"/>
      <c r="AH44" s="2244"/>
      <c r="AI44" s="2245"/>
      <c r="AJ44" s="2245"/>
      <c r="AK44" s="2246"/>
      <c r="AL44" s="2244"/>
      <c r="AM44" s="2245"/>
      <c r="AN44" s="2245"/>
      <c r="AO44" s="2246"/>
      <c r="AP44" s="2244"/>
      <c r="AQ44" s="2245"/>
      <c r="AR44" s="2245"/>
      <c r="AS44" s="2246"/>
      <c r="AT44" s="1407" t="s">
        <v>476</v>
      </c>
      <c r="AU44" s="1407" t="s">
        <v>477</v>
      </c>
      <c r="AV44" s="1407" t="s">
        <v>476</v>
      </c>
      <c r="AW44" s="1407" t="s">
        <v>477</v>
      </c>
      <c r="AX44" s="1417" t="s">
        <v>444</v>
      </c>
      <c r="AY44" s="2160" t="s">
        <v>445</v>
      </c>
      <c r="AZ44" s="2174"/>
      <c r="BA44" s="2213"/>
      <c r="BB44" s="2216"/>
      <c r="BC44" s="2066"/>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205">
        <f t="shared" ca="1" si="2"/>
        <v>8</v>
      </c>
      <c r="AB45" s="2205"/>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05">
        <f ca="1">OFFSET(AY45,0,-1)+1</f>
        <v>3</v>
      </c>
      <c r="AZ45" s="2205"/>
      <c r="BA45" s="1410">
        <f ca="1">OFFSET(BA45,0,-2)+1</f>
        <v>4</v>
      </c>
      <c r="BB45" s="1173">
        <f ca="1">OFFSET(BB45,0,-1)</f>
        <v>4</v>
      </c>
      <c r="BC45" s="1410">
        <f ca="1">OFFSET(BC45,0,-1)+1</f>
        <v>5</v>
      </c>
      <c r="BD45" s="449"/>
      <c r="BE45" s="449"/>
      <c r="BF45" s="449"/>
      <c r="BG45" s="449"/>
      <c r="BH45" s="449"/>
      <c r="BI45" s="434">
        <v>0</v>
      </c>
    </row>
    <row r="46" spans="1:61" ht="21.95" customHeight="1">
      <c r="A46" s="1291" t="s">
        <v>259</v>
      </c>
      <c r="B46" s="1291"/>
      <c r="C46" s="1291"/>
      <c r="D46" s="1291"/>
      <c r="E46" s="2194">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189"/>
      <c r="W46" s="2189"/>
      <c r="X46" s="2189"/>
      <c r="Y46" s="2189"/>
      <c r="Z46" s="2189"/>
      <c r="AA46" s="2189"/>
      <c r="AB46" s="2189"/>
      <c r="AC46" s="2190"/>
      <c r="AD46" s="2188" t="str">
        <f>INDEX(PT_DIFFERENTIATION_NTAR,MATCH(A46,PT_DIFFERENTIATION_NTAR_ID,0))</f>
        <v/>
      </c>
      <c r="AE46" s="2189"/>
      <c r="AF46" s="2189"/>
      <c r="AG46" s="2189"/>
      <c r="AH46" s="2189"/>
      <c r="AI46" s="2189"/>
      <c r="AJ46" s="2189"/>
      <c r="AK46" s="2189"/>
      <c r="AL46" s="2189"/>
      <c r="AM46" s="2189"/>
      <c r="AN46" s="2189"/>
      <c r="AO46" s="2189"/>
      <c r="AP46" s="2189"/>
      <c r="AQ46" s="2189"/>
      <c r="AR46" s="2189"/>
      <c r="AS46" s="2189"/>
      <c r="AT46" s="2189"/>
      <c r="AU46" s="2189"/>
      <c r="AV46" s="2189"/>
      <c r="AW46" s="2189"/>
      <c r="AX46" s="2189"/>
      <c r="AY46" s="2189"/>
      <c r="AZ46" s="2189"/>
      <c r="BA46" s="2189"/>
      <c r="BB46" s="2190"/>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259</v>
      </c>
      <c r="B47" s="1291" t="s">
        <v>260</v>
      </c>
      <c r="C47" s="1291"/>
      <c r="D47" s="1291"/>
      <c r="E47" s="2195"/>
      <c r="F47" s="2194">
        <v>1</v>
      </c>
      <c r="G47" s="1291"/>
      <c r="H47" s="1291"/>
      <c r="I47" s="1291"/>
      <c r="J47" s="1291"/>
      <c r="K47" s="1291"/>
      <c r="L47" s="1292"/>
      <c r="M47" s="1293"/>
      <c r="N47" s="1293"/>
      <c r="O47" s="1293"/>
      <c r="P47" s="1338"/>
      <c r="Q47" s="1339"/>
      <c r="R47" s="291"/>
      <c r="S47" s="1421" t="str">
        <f>INDEX(PT_DIFFERENTIATION_NUM_TER,MATCH(B47,PT_DIFFERENTIATION_TER_ID,0))</f>
        <v>.</v>
      </c>
      <c r="T47" s="246" t="s">
        <v>395</v>
      </c>
      <c r="U47" s="238"/>
      <c r="V47" s="2189"/>
      <c r="W47" s="2189"/>
      <c r="X47" s="2189"/>
      <c r="Y47" s="2189"/>
      <c r="Z47" s="2189"/>
      <c r="AA47" s="2189"/>
      <c r="AB47" s="2189"/>
      <c r="AC47" s="2190"/>
      <c r="AD47" s="2188" t="str">
        <f>INDEX(PT_DIFFERENTIATION_TER,MATCH(B47,PT_DIFFERENTIATION_TER_ID,0))</f>
        <v/>
      </c>
      <c r="AE47" s="2189"/>
      <c r="AF47" s="2189"/>
      <c r="AG47" s="2189"/>
      <c r="AH47" s="2189"/>
      <c r="AI47" s="2189"/>
      <c r="AJ47" s="2189"/>
      <c r="AK47" s="2189"/>
      <c r="AL47" s="2189"/>
      <c r="AM47" s="2189"/>
      <c r="AN47" s="2189"/>
      <c r="AO47" s="2189"/>
      <c r="AP47" s="2189"/>
      <c r="AQ47" s="2189"/>
      <c r="AR47" s="2189"/>
      <c r="AS47" s="2189"/>
      <c r="AT47" s="2189"/>
      <c r="AU47" s="2189"/>
      <c r="AV47" s="2189"/>
      <c r="AW47" s="2189"/>
      <c r="AX47" s="2189"/>
      <c r="AY47" s="2189"/>
      <c r="AZ47" s="2189"/>
      <c r="BA47" s="2189"/>
      <c r="BB47" s="2190"/>
      <c r="BC47" s="1186" t="s">
        <v>396</v>
      </c>
      <c r="BE47" s="438"/>
      <c r="BF47" s="438" t="str">
        <f t="shared" si="3"/>
        <v>Территория действия тарифа</v>
      </c>
      <c r="BG47" s="438"/>
      <c r="BH47" s="438"/>
      <c r="BI47" s="1083">
        <v>21</v>
      </c>
    </row>
    <row r="48" spans="1:61" ht="35.65" customHeight="1">
      <c r="A48" s="1291" t="s">
        <v>259</v>
      </c>
      <c r="B48" s="1291" t="s">
        <v>260</v>
      </c>
      <c r="C48" s="1291" t="s">
        <v>261</v>
      </c>
      <c r="D48" s="1291"/>
      <c r="E48" s="2195"/>
      <c r="F48" s="2195"/>
      <c r="G48" s="2194">
        <v>1</v>
      </c>
      <c r="H48" s="1291"/>
      <c r="I48" s="1291"/>
      <c r="J48" s="1291"/>
      <c r="K48" s="1291"/>
      <c r="L48" s="1292"/>
      <c r="M48" s="1293"/>
      <c r="N48" s="1293"/>
      <c r="O48" s="1293"/>
      <c r="P48" s="1340"/>
      <c r="Q48" s="1339"/>
      <c r="R48" s="291"/>
      <c r="S48" s="1421" t="str">
        <f>INDEX(PT_DIFFERENTIATION_NUM_CS,MATCH(C48,PT_DIFFERENTIATION_CS_ID,0))</f>
        <v>..</v>
      </c>
      <c r="T48" s="247" t="s">
        <v>528</v>
      </c>
      <c r="U48" s="238"/>
      <c r="V48" s="2189"/>
      <c r="W48" s="2189"/>
      <c r="X48" s="2189"/>
      <c r="Y48" s="2189"/>
      <c r="Z48" s="2189"/>
      <c r="AA48" s="2189"/>
      <c r="AB48" s="2189"/>
      <c r="AC48" s="2190"/>
      <c r="AD48" s="2188" t="str">
        <f>INDEX(PT_DIFFERENTIATION_CS,MATCH(C48,PT_DIFFERENTIATION_CS_ID,0))</f>
        <v/>
      </c>
      <c r="AE48" s="2189"/>
      <c r="AF48" s="2189"/>
      <c r="AG48" s="2189"/>
      <c r="AH48" s="2189"/>
      <c r="AI48" s="2189"/>
      <c r="AJ48" s="2189"/>
      <c r="AK48" s="2189"/>
      <c r="AL48" s="2189"/>
      <c r="AM48" s="2189"/>
      <c r="AN48" s="2189"/>
      <c r="AO48" s="2189"/>
      <c r="AP48" s="2189"/>
      <c r="AQ48" s="2189"/>
      <c r="AR48" s="2189"/>
      <c r="AS48" s="2189"/>
      <c r="AT48" s="2189"/>
      <c r="AU48" s="2189"/>
      <c r="AV48" s="2189"/>
      <c r="AW48" s="2189"/>
      <c r="AX48" s="2189"/>
      <c r="AY48" s="2189"/>
      <c r="AZ48" s="2189"/>
      <c r="BA48" s="2189"/>
      <c r="BB48" s="2190"/>
      <c r="BC48" s="1186" t="s">
        <v>529</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259</v>
      </c>
      <c r="B49" s="1271" t="s">
        <v>260</v>
      </c>
      <c r="C49" s="1271" t="s">
        <v>261</v>
      </c>
      <c r="D49" s="1271" t="s">
        <v>542</v>
      </c>
      <c r="E49" s="2195"/>
      <c r="F49" s="2195"/>
      <c r="G49" s="2195"/>
      <c r="H49" s="2194">
        <v>1</v>
      </c>
      <c r="I49" s="1271"/>
      <c r="J49" s="1271"/>
      <c r="K49" s="1271"/>
      <c r="L49" s="1274"/>
      <c r="M49" s="1243"/>
      <c r="N49" s="1243"/>
      <c r="O49" s="1243"/>
      <c r="P49" s="1425"/>
      <c r="Q49" s="1426"/>
      <c r="R49" s="295"/>
      <c r="S49" s="973"/>
      <c r="T49" s="1427"/>
      <c r="U49" s="1312"/>
      <c r="V49" s="2226"/>
      <c r="W49" s="2226"/>
      <c r="X49" s="2226"/>
      <c r="Y49" s="2226"/>
      <c r="Z49" s="2226"/>
      <c r="AA49" s="2226"/>
      <c r="AB49" s="2226"/>
      <c r="AC49" s="2227"/>
      <c r="AD49" s="2225"/>
      <c r="AE49" s="2226"/>
      <c r="AF49" s="2226"/>
      <c r="AG49" s="2226"/>
      <c r="AH49" s="2226"/>
      <c r="AI49" s="2226"/>
      <c r="AJ49" s="2226"/>
      <c r="AK49" s="2226"/>
      <c r="AL49" s="2226"/>
      <c r="AM49" s="2226"/>
      <c r="AN49" s="2226"/>
      <c r="AO49" s="2226"/>
      <c r="AP49" s="2226"/>
      <c r="AQ49" s="2226"/>
      <c r="AR49" s="2226"/>
      <c r="AS49" s="2226"/>
      <c r="AT49" s="2226"/>
      <c r="AU49" s="2226"/>
      <c r="AV49" s="2226"/>
      <c r="AW49" s="2226"/>
      <c r="AX49" s="2226"/>
      <c r="AY49" s="2226"/>
      <c r="AZ49" s="2226"/>
      <c r="BA49" s="2226"/>
      <c r="BB49" s="2227"/>
      <c r="BC49" s="1313" t="s">
        <v>400</v>
      </c>
      <c r="BE49" s="438"/>
      <c r="BF49" s="438" t="str">
        <f t="shared" si="3"/>
        <v/>
      </c>
      <c r="BG49" s="438"/>
      <c r="BH49" s="438"/>
      <c r="BI49" s="449">
        <v>0</v>
      </c>
    </row>
    <row r="50" spans="1:61" s="1570" customFormat="1" ht="0" hidden="1" customHeight="1">
      <c r="A50" s="1271" t="s">
        <v>259</v>
      </c>
      <c r="B50" s="1271" t="s">
        <v>260</v>
      </c>
      <c r="C50" s="1271" t="s">
        <v>261</v>
      </c>
      <c r="D50" s="1271" t="s">
        <v>542</v>
      </c>
      <c r="E50" s="2195"/>
      <c r="F50" s="2195"/>
      <c r="G50" s="2195"/>
      <c r="H50" s="2195"/>
      <c r="I50" s="2196" t="str">
        <f>S49&amp;".1"</f>
        <v>.1</v>
      </c>
      <c r="J50" s="1271"/>
      <c r="K50" s="1271"/>
      <c r="L50" s="1274" t="s">
        <v>401</v>
      </c>
      <c r="M50" s="448"/>
      <c r="N50" s="448"/>
      <c r="O50" s="448"/>
      <c r="P50" s="2198">
        <v>1</v>
      </c>
      <c r="Q50" s="1409"/>
      <c r="R50" s="294"/>
      <c r="S50" s="973"/>
      <c r="T50" s="1311"/>
      <c r="U50" s="1312"/>
      <c r="V50" s="2226"/>
      <c r="W50" s="2226"/>
      <c r="X50" s="2226"/>
      <c r="Y50" s="2226"/>
      <c r="Z50" s="2226"/>
      <c r="AA50" s="2226"/>
      <c r="AB50" s="2226"/>
      <c r="AC50" s="2227"/>
      <c r="AD50" s="2225"/>
      <c r="AE50" s="2226"/>
      <c r="AF50" s="2226"/>
      <c r="AG50" s="2226"/>
      <c r="AH50" s="2226"/>
      <c r="AI50" s="2226"/>
      <c r="AJ50" s="2226"/>
      <c r="AK50" s="2226"/>
      <c r="AL50" s="2226"/>
      <c r="AM50" s="2226"/>
      <c r="AN50" s="2226"/>
      <c r="AO50" s="2226"/>
      <c r="AP50" s="2226"/>
      <c r="AQ50" s="2226"/>
      <c r="AR50" s="2226"/>
      <c r="AS50" s="2226"/>
      <c r="AT50" s="2226"/>
      <c r="AU50" s="2226"/>
      <c r="AV50" s="2226"/>
      <c r="AW50" s="2226"/>
      <c r="AX50" s="2226"/>
      <c r="AY50" s="2226"/>
      <c r="AZ50" s="2226"/>
      <c r="BA50" s="2226"/>
      <c r="BB50" s="2227"/>
      <c r="BC50" s="1313"/>
      <c r="BE50" s="438"/>
      <c r="BF50" s="438" t="str">
        <f t="shared" si="3"/>
        <v/>
      </c>
      <c r="BG50" s="438"/>
      <c r="BH50" s="438"/>
      <c r="BI50" s="449">
        <v>0</v>
      </c>
    </row>
    <row r="51" spans="1:61" s="1570" customFormat="1" ht="0" hidden="1" customHeight="1">
      <c r="A51" s="1271" t="s">
        <v>259</v>
      </c>
      <c r="B51" s="1271" t="s">
        <v>260</v>
      </c>
      <c r="C51" s="1271" t="s">
        <v>261</v>
      </c>
      <c r="D51" s="1271" t="s">
        <v>542</v>
      </c>
      <c r="E51" s="2195"/>
      <c r="F51" s="2195"/>
      <c r="G51" s="2195"/>
      <c r="H51" s="2195"/>
      <c r="I51" s="2197"/>
      <c r="J51" s="2196" t="str">
        <f>S49&amp;".1"</f>
        <v>.1</v>
      </c>
      <c r="K51" s="1271"/>
      <c r="L51" s="1274"/>
      <c r="M51" s="448"/>
      <c r="N51" s="448"/>
      <c r="O51" s="448"/>
      <c r="P51" s="2198"/>
      <c r="Q51" s="2198">
        <v>1</v>
      </c>
      <c r="R51" s="295"/>
      <c r="S51" s="973"/>
      <c r="T51" s="1327"/>
      <c r="U51" s="1312"/>
      <c r="V51" s="2226"/>
      <c r="W51" s="2226"/>
      <c r="X51" s="2226"/>
      <c r="Y51" s="2226"/>
      <c r="Z51" s="2226"/>
      <c r="AA51" s="2226"/>
      <c r="AB51" s="2226"/>
      <c r="AC51" s="2227"/>
      <c r="AD51" s="2225"/>
      <c r="AE51" s="2226"/>
      <c r="AF51" s="2226"/>
      <c r="AG51" s="2226"/>
      <c r="AH51" s="2226"/>
      <c r="AI51" s="2226"/>
      <c r="AJ51" s="2226"/>
      <c r="AK51" s="2226"/>
      <c r="AL51" s="2226"/>
      <c r="AM51" s="2226"/>
      <c r="AN51" s="2277"/>
      <c r="AO51" s="2277"/>
      <c r="AP51" s="2226"/>
      <c r="AQ51" s="2226"/>
      <c r="AR51" s="2226"/>
      <c r="AS51" s="2226"/>
      <c r="AT51" s="2226"/>
      <c r="AU51" s="2226"/>
      <c r="AV51" s="2226"/>
      <c r="AW51" s="2226"/>
      <c r="AX51" s="2226"/>
      <c r="AY51" s="2226"/>
      <c r="AZ51" s="2226"/>
      <c r="BA51" s="2226"/>
      <c r="BB51" s="2227"/>
      <c r="BC51" s="1313"/>
      <c r="BE51" s="438"/>
      <c r="BF51" s="438" t="str">
        <f t="shared" si="3"/>
        <v/>
      </c>
      <c r="BG51" s="438"/>
      <c r="BH51" s="438"/>
      <c r="BI51" s="449">
        <v>0</v>
      </c>
    </row>
    <row r="52" spans="1:61" ht="11.45" customHeight="1">
      <c r="A52" s="1291" t="s">
        <v>259</v>
      </c>
      <c r="B52" s="1291" t="s">
        <v>260</v>
      </c>
      <c r="C52" s="1291" t="s">
        <v>261</v>
      </c>
      <c r="D52" s="1291" t="s">
        <v>542</v>
      </c>
      <c r="E52" s="2195"/>
      <c r="F52" s="2195"/>
      <c r="G52" s="2195"/>
      <c r="H52" s="2195"/>
      <c r="I52" s="2197"/>
      <c r="J52" s="2197"/>
      <c r="K52" s="2196" t="str">
        <f>S48&amp;".1"</f>
        <v>...1</v>
      </c>
      <c r="L52" s="1292"/>
      <c r="P52" s="2198"/>
      <c r="Q52" s="2198"/>
      <c r="R52" s="295">
        <v>1</v>
      </c>
      <c r="S52" s="2251" t="str">
        <f>$K52</f>
        <v>...1</v>
      </c>
      <c r="T52" s="2271"/>
      <c r="U52" s="238"/>
      <c r="V52" s="689"/>
      <c r="W52" s="1185"/>
      <c r="X52" s="689"/>
      <c r="Y52" s="1185"/>
      <c r="Z52" s="1661"/>
      <c r="AA52" s="1397" t="s">
        <v>65</v>
      </c>
      <c r="AB52" s="1661"/>
      <c r="AC52" s="1397" t="s">
        <v>65</v>
      </c>
      <c r="AD52" s="2138" t="s">
        <v>65</v>
      </c>
      <c r="AE52" s="2247"/>
      <c r="AF52" s="2151">
        <v>1</v>
      </c>
      <c r="AG52" s="2270"/>
      <c r="AH52" s="2076" t="s">
        <v>65</v>
      </c>
      <c r="AI52" s="2247"/>
      <c r="AJ52" s="2151">
        <v>1</v>
      </c>
      <c r="AK52" s="2261" t="s">
        <v>22</v>
      </c>
      <c r="AL52" s="2076" t="s">
        <v>65</v>
      </c>
      <c r="AM52" s="2126"/>
      <c r="AN52" s="2151">
        <v>1</v>
      </c>
      <c r="AO52" s="2274"/>
      <c r="AP52" s="2275" t="s">
        <v>65</v>
      </c>
      <c r="AQ52" s="249"/>
      <c r="AR52" s="1414">
        <v>1</v>
      </c>
      <c r="AS52" s="1420" t="s">
        <v>22</v>
      </c>
      <c r="AT52" s="689"/>
      <c r="AU52" s="1185"/>
      <c r="AV52" s="689"/>
      <c r="AW52" s="1185"/>
      <c r="AX52" s="1661"/>
      <c r="AY52" s="1397" t="s">
        <v>65</v>
      </c>
      <c r="AZ52" s="1661"/>
      <c r="BA52" s="1397" t="s">
        <v>65</v>
      </c>
      <c r="BB52" s="1276"/>
      <c r="BC52" s="2217" t="s">
        <v>499</v>
      </c>
      <c r="BE52" s="438"/>
      <c r="BF52" s="438" t="str">
        <f t="shared" si="3"/>
        <v/>
      </c>
      <c r="BG52" s="438"/>
      <c r="BH52" s="438"/>
      <c r="BI52" s="1083">
        <v>11</v>
      </c>
    </row>
    <row r="53" spans="1:61" ht="11.45" customHeight="1">
      <c r="A53" s="1291"/>
      <c r="B53" s="1291"/>
      <c r="C53" s="1291"/>
      <c r="D53" s="1291"/>
      <c r="E53" s="2195"/>
      <c r="F53" s="2195"/>
      <c r="G53" s="2195"/>
      <c r="H53" s="2195"/>
      <c r="I53" s="2197"/>
      <c r="J53" s="2197"/>
      <c r="K53" s="2196"/>
      <c r="L53" s="1292"/>
      <c r="P53" s="2198"/>
      <c r="Q53" s="2198"/>
      <c r="R53" s="295"/>
      <c r="S53" s="2252"/>
      <c r="T53" s="2272"/>
      <c r="U53" s="238"/>
      <c r="V53" s="1321"/>
      <c r="W53" s="1424"/>
      <c r="X53" s="1321"/>
      <c r="Y53" s="1424"/>
      <c r="Z53" s="1321"/>
      <c r="AA53" s="1321"/>
      <c r="AB53" s="1321"/>
      <c r="AC53" s="1321"/>
      <c r="AD53" s="2139"/>
      <c r="AE53" s="2247"/>
      <c r="AF53" s="2151"/>
      <c r="AG53" s="2270"/>
      <c r="AH53" s="2076"/>
      <c r="AI53" s="2247"/>
      <c r="AJ53" s="2151"/>
      <c r="AK53" s="2261"/>
      <c r="AL53" s="2076"/>
      <c r="AM53" s="2131"/>
      <c r="AN53" s="2151"/>
      <c r="AO53" s="2274"/>
      <c r="AP53" s="2276"/>
      <c r="AQ53" s="254"/>
      <c r="AR53" s="354"/>
      <c r="AS53" s="354" t="s">
        <v>500</v>
      </c>
      <c r="AT53" s="1321"/>
      <c r="AU53" s="1424"/>
      <c r="AV53" s="1321"/>
      <c r="AW53" s="1424"/>
      <c r="AX53" s="1321"/>
      <c r="AY53" s="1321"/>
      <c r="AZ53" s="1321"/>
      <c r="BA53" s="1321"/>
      <c r="BB53" s="1325"/>
      <c r="BC53" s="2218"/>
      <c r="BE53" s="438"/>
      <c r="BF53" s="438"/>
      <c r="BG53" s="438"/>
      <c r="BH53" s="438"/>
      <c r="BI53" s="1083">
        <v>11</v>
      </c>
    </row>
    <row r="54" spans="1:61" ht="11.45" customHeight="1">
      <c r="A54" s="1291" t="s">
        <v>259</v>
      </c>
      <c r="B54" s="1291"/>
      <c r="C54" s="1291"/>
      <c r="D54" s="1291"/>
      <c r="E54" s="2195"/>
      <c r="F54" s="2195"/>
      <c r="G54" s="2195"/>
      <c r="H54" s="2195"/>
      <c r="I54" s="2197"/>
      <c r="J54" s="2197"/>
      <c r="K54" s="2196"/>
      <c r="L54" s="1292"/>
      <c r="P54" s="2198"/>
      <c r="Q54" s="2198"/>
      <c r="R54" s="295"/>
      <c r="S54" s="2252"/>
      <c r="T54" s="2272"/>
      <c r="U54" s="238"/>
      <c r="V54" s="1321"/>
      <c r="W54" s="1424"/>
      <c r="X54" s="1321"/>
      <c r="Y54" s="1424"/>
      <c r="Z54" s="1321"/>
      <c r="AA54" s="1321"/>
      <c r="AB54" s="1321"/>
      <c r="AC54" s="1321"/>
      <c r="AD54" s="2139"/>
      <c r="AE54" s="2247"/>
      <c r="AF54" s="2151"/>
      <c r="AG54" s="2270"/>
      <c r="AH54" s="2076"/>
      <c r="AI54" s="2247"/>
      <c r="AJ54" s="2151"/>
      <c r="AK54" s="2261"/>
      <c r="AL54" s="2076"/>
      <c r="AM54" s="254"/>
      <c r="AN54" s="1428"/>
      <c r="AO54" s="1428" t="s">
        <v>501</v>
      </c>
      <c r="AP54" s="354"/>
      <c r="AQ54" s="354"/>
      <c r="AR54" s="354"/>
      <c r="AS54" s="1321"/>
      <c r="AT54" s="1321"/>
      <c r="AU54" s="1424"/>
      <c r="AV54" s="1321"/>
      <c r="AW54" s="1424"/>
      <c r="AX54" s="1321"/>
      <c r="AY54" s="1321"/>
      <c r="AZ54" s="1321"/>
      <c r="BA54" s="1321"/>
      <c r="BB54" s="1325"/>
      <c r="BC54" s="2218"/>
      <c r="BE54" s="438"/>
      <c r="BF54" s="438"/>
      <c r="BG54" s="438"/>
      <c r="BH54" s="438"/>
      <c r="BI54" s="1083">
        <v>11</v>
      </c>
    </row>
    <row r="55" spans="1:61" ht="11.45" customHeight="1">
      <c r="A55" s="1291" t="s">
        <v>259</v>
      </c>
      <c r="B55" s="1291"/>
      <c r="C55" s="1291"/>
      <c r="D55" s="1291"/>
      <c r="E55" s="2195"/>
      <c r="F55" s="2195"/>
      <c r="G55" s="2195"/>
      <c r="H55" s="2195"/>
      <c r="I55" s="2197"/>
      <c r="J55" s="2197"/>
      <c r="K55" s="2196"/>
      <c r="L55" s="1292"/>
      <c r="P55" s="2198"/>
      <c r="Q55" s="2198"/>
      <c r="R55" s="295"/>
      <c r="S55" s="2252"/>
      <c r="T55" s="2272"/>
      <c r="U55" s="238"/>
      <c r="V55" s="1321"/>
      <c r="W55" s="1424"/>
      <c r="X55" s="1321"/>
      <c r="Y55" s="1424"/>
      <c r="Z55" s="1321"/>
      <c r="AA55" s="1321"/>
      <c r="AB55" s="1321"/>
      <c r="AC55" s="1321"/>
      <c r="AD55" s="2139"/>
      <c r="AE55" s="2247"/>
      <c r="AF55" s="2151"/>
      <c r="AG55" s="2270"/>
      <c r="AH55" s="2076"/>
      <c r="AI55" s="232"/>
      <c r="AJ55" s="353"/>
      <c r="AK55" s="251" t="s">
        <v>502</v>
      </c>
      <c r="AL55" s="1321"/>
      <c r="AM55" s="1321"/>
      <c r="AN55" s="1321"/>
      <c r="AO55" s="1321"/>
      <c r="AP55" s="1321"/>
      <c r="AQ55" s="1321"/>
      <c r="AR55" s="1321"/>
      <c r="AS55" s="1321"/>
      <c r="AT55" s="1321"/>
      <c r="AU55" s="1424"/>
      <c r="AV55" s="1321"/>
      <c r="AW55" s="1424"/>
      <c r="AX55" s="1321"/>
      <c r="AY55" s="1321"/>
      <c r="AZ55" s="1321"/>
      <c r="BA55" s="1321"/>
      <c r="BB55" s="1325"/>
      <c r="BC55" s="2218"/>
      <c r="BE55" s="438"/>
      <c r="BF55" s="438"/>
      <c r="BG55" s="438"/>
      <c r="BH55" s="438"/>
      <c r="BI55" s="1083">
        <v>11</v>
      </c>
    </row>
    <row r="56" spans="1:61" ht="11.45" customHeight="1">
      <c r="A56" s="1291" t="s">
        <v>259</v>
      </c>
      <c r="B56" s="1291" t="s">
        <v>260</v>
      </c>
      <c r="C56" s="1291" t="s">
        <v>261</v>
      </c>
      <c r="D56" s="1291" t="s">
        <v>542</v>
      </c>
      <c r="E56" s="2195"/>
      <c r="F56" s="2195"/>
      <c r="G56" s="2195"/>
      <c r="H56" s="2195"/>
      <c r="I56" s="2197"/>
      <c r="J56" s="2197"/>
      <c r="K56" s="2196"/>
      <c r="L56" s="1292"/>
      <c r="P56" s="2198"/>
      <c r="Q56" s="2198"/>
      <c r="R56" s="295"/>
      <c r="S56" s="2253"/>
      <c r="T56" s="2273"/>
      <c r="U56" s="238"/>
      <c r="V56" s="1321"/>
      <c r="W56" s="1322" t="str">
        <f>Z52&amp;"-"&amp;AB52</f>
        <v>-</v>
      </c>
      <c r="X56" s="1321"/>
      <c r="Y56" s="1322" t="str">
        <f>AB52&amp;"-"&amp;AD52</f>
        <v>-да</v>
      </c>
      <c r="Z56" s="1321"/>
      <c r="AA56" s="1321"/>
      <c r="AB56" s="1321"/>
      <c r="AC56" s="1321"/>
      <c r="AD56" s="2081"/>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8"/>
      <c r="BE56" s="438"/>
      <c r="BF56" s="438" t="str">
        <f t="shared" ref="BF56:BF63" si="4">IF(T56="","",T56)</f>
        <v/>
      </c>
      <c r="BG56" s="438"/>
      <c r="BH56" s="438"/>
      <c r="BI56" s="1083">
        <v>11</v>
      </c>
    </row>
    <row r="57" spans="1:61" ht="11.45" customHeight="1">
      <c r="A57" s="1291" t="s">
        <v>259</v>
      </c>
      <c r="B57" s="1291" t="s">
        <v>260</v>
      </c>
      <c r="C57" s="1291" t="s">
        <v>261</v>
      </c>
      <c r="D57" s="1291" t="s">
        <v>542</v>
      </c>
      <c r="E57" s="2195"/>
      <c r="F57" s="2195"/>
      <c r="G57" s="2195"/>
      <c r="H57" s="2195"/>
      <c r="I57" s="2197"/>
      <c r="J57" s="2196"/>
      <c r="K57" s="1291"/>
      <c r="L57" s="1292"/>
      <c r="P57" s="2198"/>
      <c r="Q57" s="2198"/>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19"/>
      <c r="BE57" s="438"/>
      <c r="BF57" s="438" t="str">
        <f t="shared" si="4"/>
        <v>Добавить строку</v>
      </c>
      <c r="BG57" s="438"/>
      <c r="BH57" s="438"/>
      <c r="BI57" s="1083">
        <v>11</v>
      </c>
    </row>
    <row r="58" spans="1:61" s="1570" customFormat="1" ht="0" hidden="1" customHeight="1">
      <c r="A58" s="1271" t="s">
        <v>259</v>
      </c>
      <c r="B58" s="1271" t="s">
        <v>260</v>
      </c>
      <c r="C58" s="1271" t="s">
        <v>261</v>
      </c>
      <c r="D58" s="1271" t="s">
        <v>542</v>
      </c>
      <c r="E58" s="2195"/>
      <c r="F58" s="2195"/>
      <c r="G58" s="2195"/>
      <c r="H58" s="2195"/>
      <c r="I58" s="2196"/>
      <c r="J58" s="1271"/>
      <c r="K58" s="1271"/>
      <c r="L58" s="1274"/>
      <c r="M58" s="448"/>
      <c r="N58" s="448"/>
      <c r="O58" s="448"/>
      <c r="P58" s="2198"/>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259</v>
      </c>
      <c r="B59" s="1271" t="s">
        <v>260</v>
      </c>
      <c r="C59" s="1271" t="s">
        <v>261</v>
      </c>
      <c r="D59" s="1271" t="s">
        <v>542</v>
      </c>
      <c r="E59" s="2195"/>
      <c r="F59" s="2195"/>
      <c r="G59" s="2195"/>
      <c r="H59" s="2194"/>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259</v>
      </c>
      <c r="B60" s="1271" t="s">
        <v>260</v>
      </c>
      <c r="C60" s="1271" t="s">
        <v>261</v>
      </c>
      <c r="D60" s="1242"/>
      <c r="E60" s="2195"/>
      <c r="F60" s="2195"/>
      <c r="G60" s="2194"/>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259</v>
      </c>
      <c r="B61" s="1271" t="s">
        <v>260</v>
      </c>
      <c r="C61" s="1242"/>
      <c r="D61" s="1242"/>
      <c r="E61" s="2195"/>
      <c r="F61" s="2194"/>
      <c r="G61" s="1242"/>
      <c r="H61" s="1242"/>
      <c r="I61" s="1242"/>
      <c r="J61" s="1242"/>
      <c r="K61" s="1242"/>
      <c r="L61" s="142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259</v>
      </c>
      <c r="B62" s="1271"/>
      <c r="C62" s="1271"/>
      <c r="D62" s="1271"/>
      <c r="E62" s="2194"/>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AV65" s="2193"/>
      <c r="AW65" s="2193"/>
      <c r="AX65" s="2193"/>
      <c r="AY65" s="2193"/>
      <c r="AZ65" s="2193"/>
      <c r="BA65" s="2193"/>
      <c r="BB65" s="2193"/>
      <c r="BC65" s="2193"/>
      <c r="BI65" s="1083">
        <v>19</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899999999999999" customHeight="1">
      <c r="O67" s="475"/>
      <c r="S67" s="1181"/>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AV67" s="2193"/>
      <c r="AW67" s="2193"/>
      <c r="AX67" s="2193"/>
      <c r="AY67" s="2193"/>
      <c r="AZ67" s="2193"/>
      <c r="BA67" s="2193"/>
      <c r="BB67" s="2193"/>
      <c r="BC67" s="2193"/>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9" t="s">
        <v>14</v>
      </c>
    </row>
    <row r="2" spans="1:32" ht="292.5">
      <c r="B2" s="2000"/>
      <c r="C2" s="1095" t="s">
        <v>543</v>
      </c>
      <c r="D2" s="1566"/>
      <c r="E2" s="484">
        <f>B2</f>
        <v>0</v>
      </c>
      <c r="F2" s="485"/>
      <c r="G2" s="1574" t="s">
        <v>544</v>
      </c>
      <c r="H2" s="1574" t="s">
        <v>544</v>
      </c>
      <c r="I2" s="1574" t="s">
        <v>544</v>
      </c>
      <c r="J2" s="227" t="s">
        <v>545</v>
      </c>
      <c r="K2" s="481"/>
      <c r="AF2" s="1559">
        <v>0</v>
      </c>
    </row>
    <row r="3" spans="1:32" ht="11.25">
      <c r="B3" s="2000"/>
      <c r="C3" s="1095"/>
      <c r="D3" s="486"/>
      <c r="E3" s="487"/>
      <c r="F3" s="488" t="s">
        <v>546</v>
      </c>
      <c r="G3" s="489"/>
      <c r="H3" s="489">
        <f>H4*H5+H7</f>
        <v>0</v>
      </c>
      <c r="I3" s="489">
        <f>I4*I5+I6</f>
        <v>0</v>
      </c>
      <c r="J3" s="490"/>
      <c r="AF3" s="1564">
        <v>0</v>
      </c>
    </row>
    <row r="4" spans="1:32" ht="270">
      <c r="B4" s="2000"/>
      <c r="C4" s="1095"/>
      <c r="D4" s="1566"/>
      <c r="E4" s="484" t="str">
        <f>B2&amp;".1"</f>
        <v>.1</v>
      </c>
      <c r="F4" s="491" t="s">
        <v>547</v>
      </c>
      <c r="G4" s="492"/>
      <c r="H4" s="479"/>
      <c r="I4" s="479"/>
      <c r="J4" s="227" t="s">
        <v>548</v>
      </c>
      <c r="K4" s="481"/>
      <c r="AF4" s="1559">
        <v>0</v>
      </c>
    </row>
    <row r="5" spans="1:32" ht="101.25">
      <c r="B5" s="2000"/>
      <c r="C5" s="1095"/>
      <c r="D5" s="1566"/>
      <c r="E5" s="484" t="str">
        <f>B2&amp;".2"</f>
        <v>.2</v>
      </c>
      <c r="F5" s="491" t="s">
        <v>549</v>
      </c>
      <c r="G5" s="1574" t="s">
        <v>550</v>
      </c>
      <c r="H5" s="479"/>
      <c r="I5" s="479"/>
      <c r="J5" s="227"/>
      <c r="K5" s="481"/>
      <c r="AF5" s="1559">
        <v>0</v>
      </c>
    </row>
    <row r="6" spans="1:32" ht="78.75">
      <c r="B6" s="2000"/>
      <c r="C6" s="1095"/>
      <c r="D6" s="1566"/>
      <c r="E6" s="484" t="str">
        <f>B2&amp;".3"</f>
        <v>.3</v>
      </c>
      <c r="F6" s="491" t="s">
        <v>551</v>
      </c>
      <c r="G6" s="1574" t="s">
        <v>550</v>
      </c>
      <c r="H6" s="479"/>
      <c r="I6" s="479"/>
      <c r="J6" s="227"/>
      <c r="K6" s="481"/>
      <c r="AF6" s="1559">
        <v>0</v>
      </c>
    </row>
    <row r="7" spans="1:32" ht="67.5">
      <c r="B7" s="2000"/>
      <c r="C7" s="1095"/>
      <c r="D7" s="1566"/>
      <c r="E7" s="484" t="str">
        <f>B2&amp;".4"</f>
        <v>.4</v>
      </c>
      <c r="F7" s="491" t="s">
        <v>552</v>
      </c>
      <c r="G7" s="1574" t="s">
        <v>544</v>
      </c>
      <c r="H7" s="493"/>
      <c r="I7" s="493"/>
      <c r="J7" s="227"/>
      <c r="K7" s="481"/>
      <c r="AF7" s="1559">
        <v>0</v>
      </c>
    </row>
    <row r="8" spans="1:32" ht="11.25">
      <c r="A8" s="918"/>
      <c r="C8" s="1564"/>
      <c r="D8" s="475"/>
      <c r="H8" s="1088">
        <v>4</v>
      </c>
      <c r="I8" s="1088">
        <v>4</v>
      </c>
      <c r="L8" s="1564"/>
      <c r="M8" s="1564"/>
      <c r="R8" s="1564"/>
      <c r="AF8" s="1088">
        <v>0</v>
      </c>
    </row>
    <row r="9" spans="1:32" ht="191.25">
      <c r="A9" s="918"/>
      <c r="C9" s="1564"/>
      <c r="D9" s="476"/>
      <c r="E9" s="1576"/>
      <c r="F9" s="478"/>
      <c r="G9" s="1574" t="s">
        <v>550</v>
      </c>
      <c r="H9" s="479"/>
      <c r="I9" s="479"/>
      <c r="J9" s="480" t="s">
        <v>553</v>
      </c>
      <c r="K9" s="481"/>
      <c r="L9" s="1564"/>
      <c r="M9" s="1564"/>
      <c r="R9" s="1564"/>
      <c r="U9" s="482"/>
      <c r="AA9" s="1560"/>
      <c r="AB9" s="1560"/>
      <c r="AC9" s="1560"/>
      <c r="AD9" s="1560"/>
      <c r="AE9" s="1560"/>
      <c r="AF9" s="1088">
        <v>0</v>
      </c>
    </row>
    <row r="10" spans="1:32" ht="11.25">
      <c r="AF10" s="1559">
        <v>0</v>
      </c>
    </row>
    <row r="11" spans="1:32" ht="123.75">
      <c r="D11" s="1566"/>
      <c r="E11" s="484"/>
      <c r="F11" s="478"/>
      <c r="G11" s="1574" t="s">
        <v>554</v>
      </c>
      <c r="H11" s="479"/>
      <c r="I11" s="479"/>
      <c r="J11" s="227" t="s">
        <v>555</v>
      </c>
      <c r="K11" s="481"/>
      <c r="AF11" s="1559">
        <v>0</v>
      </c>
    </row>
    <row r="12" spans="1:32" ht="11.25">
      <c r="AF12" s="1559">
        <v>0</v>
      </c>
    </row>
    <row r="13" spans="1:32" ht="225">
      <c r="D13" s="1566"/>
      <c r="E13" s="484"/>
      <c r="F13" s="478"/>
      <c r="G13" s="900" t="s">
        <v>556</v>
      </c>
      <c r="H13" s="483"/>
      <c r="I13" s="483"/>
      <c r="J13" s="683" t="s">
        <v>557</v>
      </c>
      <c r="K13" s="481"/>
      <c r="AF13" s="1559">
        <v>0</v>
      </c>
    </row>
    <row r="14" spans="1:32" ht="11.25">
      <c r="AF14" s="1559">
        <v>0</v>
      </c>
    </row>
    <row r="15" spans="1:32" ht="258.75">
      <c r="D15" s="1566"/>
      <c r="E15" s="484"/>
      <c r="F15" s="478"/>
      <c r="G15" s="1574" t="s">
        <v>558</v>
      </c>
      <c r="H15" s="483"/>
      <c r="I15" s="483"/>
      <c r="J15" s="227" t="s">
        <v>559</v>
      </c>
      <c r="K15" s="481"/>
      <c r="AF15" s="1559">
        <v>0</v>
      </c>
    </row>
    <row r="16" spans="1:32" ht="11.25">
      <c r="AF16" s="1559">
        <v>0</v>
      </c>
    </row>
    <row r="17" spans="1:32" ht="270">
      <c r="D17" s="1566"/>
      <c r="E17" s="484"/>
      <c r="F17" s="478"/>
      <c r="G17" s="1574" t="s">
        <v>560</v>
      </c>
      <c r="H17" s="483"/>
      <c r="I17" s="483"/>
      <c r="J17" s="227" t="s">
        <v>561</v>
      </c>
      <c r="K17" s="481"/>
      <c r="AF17" s="1559">
        <v>0</v>
      </c>
    </row>
    <row r="18" spans="1:32" ht="11.25">
      <c r="AF18" s="1559">
        <v>0</v>
      </c>
    </row>
    <row r="19" spans="1:32" ht="11.25">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25">
      <c r="AF20" s="1559">
        <v>11</v>
      </c>
    </row>
    <row r="21" spans="1:32" ht="409.5">
      <c r="E21" s="2004"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004"/>
      <c r="G21" s="2004"/>
      <c r="H21" s="2004"/>
      <c r="I21" s="2004"/>
      <c r="J21" s="494"/>
      <c r="AF21" s="1559">
        <v>24</v>
      </c>
    </row>
    <row r="22" spans="1:32" ht="33.75">
      <c r="E22" s="2005" t="str">
        <f>IF(org=0,"Не определено",org)</f>
        <v>ООО "Профит"</v>
      </c>
      <c r="F22" s="2005"/>
      <c r="G22" s="2005"/>
      <c r="H22" s="2005"/>
      <c r="I22" s="2005"/>
      <c r="AF22" s="1559">
        <v>24</v>
      </c>
    </row>
    <row r="23" spans="1:32" ht="11.25">
      <c r="E23" s="1063"/>
      <c r="F23" s="1063"/>
      <c r="G23" s="1063"/>
      <c r="H23" s="1063"/>
      <c r="I23" s="1063"/>
      <c r="AF23" s="1559">
        <v>11</v>
      </c>
    </row>
    <row r="24" spans="1:32" ht="11.25">
      <c r="A24" s="1095"/>
      <c r="D24" s="1570"/>
      <c r="H24" s="820"/>
      <c r="I24" s="820" t="s">
        <v>116</v>
      </c>
      <c r="AF24" s="1564">
        <v>1</v>
      </c>
    </row>
    <row r="25" spans="1:32" ht="45">
      <c r="E25" s="649"/>
      <c r="F25" s="2006" t="s">
        <v>104</v>
      </c>
      <c r="G25" s="2007"/>
      <c r="H25" s="1580" t="str">
        <f>IF(H24="","",INDEX(DIFFERENTIATION_UNMERGE_VD,MATCH(H24,DIFFERENTIATION_ID_DIFF,0)))</f>
        <v/>
      </c>
      <c r="I25" s="1580" t="str">
        <f>IF(I24="","",INDEX(DIFFERENTIATION_UNMERGE_VD,MATCH(I24,DIFFERENTIATION_ID_DIFF,0)))</f>
        <v>Транспортировка. Питьевая вода</v>
      </c>
      <c r="J25" s="2002"/>
      <c r="AF25" s="1559">
        <v>11</v>
      </c>
    </row>
    <row r="26" spans="1:32" ht="45">
      <c r="E26" s="649"/>
      <c r="F26" s="2006" t="s">
        <v>562</v>
      </c>
      <c r="G26" s="2007"/>
      <c r="H26" s="1580" t="str">
        <f>IF(H24="","",INDEX(DIFFERENTIATION_UNMERGE_AREA,MATCH(H24,DIFFERENTIATION_ID_DIFF,0)))</f>
        <v/>
      </c>
      <c r="I26" s="1580" t="str">
        <f>IF(I24="","",INDEX(DIFFERENTIATION_UNMERGE_AREA,MATCH(I24,DIFFERENTIATION_ID_DIFF,0)))</f>
        <v>Территория 1</v>
      </c>
      <c r="J26" s="2002"/>
      <c r="AF26" s="1559">
        <v>11</v>
      </c>
    </row>
    <row r="27" spans="1:32" ht="56.25">
      <c r="E27" s="649"/>
      <c r="F27" s="2006" t="s">
        <v>563</v>
      </c>
      <c r="G27" s="2007"/>
      <c r="H27" s="1580" t="str">
        <f>IF(H24="","",INDEX(DIFFERENTIATION_UNMERGE_SYSTEM,MATCH(H24,DIFFERENTIATION_ID_DIFF,0)))</f>
        <v/>
      </c>
      <c r="I27" s="1580" t="str">
        <f>IF(I24="","",INDEX(DIFFERENTIATION_UNMERGE_SYSTEM,MATCH(I24,DIFFERENTIATION_ID_DIFF,0)))</f>
        <v>без дифференциации</v>
      </c>
      <c r="J27" s="2002"/>
      <c r="AF27" s="1559">
        <v>11</v>
      </c>
    </row>
    <row r="28" spans="1:32" ht="22.5">
      <c r="E28" s="2008" t="s">
        <v>298</v>
      </c>
      <c r="F28" s="2009"/>
      <c r="G28" s="2009"/>
      <c r="H28" s="1573"/>
      <c r="I28" s="1573"/>
      <c r="J28" s="2002"/>
      <c r="AF28" s="1559">
        <v>11</v>
      </c>
    </row>
    <row r="29" spans="1:32" ht="45">
      <c r="E29" s="1574" t="s">
        <v>87</v>
      </c>
      <c r="F29" s="1581" t="s">
        <v>300</v>
      </c>
      <c r="G29" s="1581" t="s">
        <v>564</v>
      </c>
      <c r="H29" s="1581" t="s">
        <v>301</v>
      </c>
      <c r="I29" s="1581" t="s">
        <v>301</v>
      </c>
      <c r="J29" s="2002"/>
      <c r="AF29" s="1559">
        <v>23</v>
      </c>
    </row>
    <row r="30" spans="1:32" ht="135">
      <c r="D30" s="1566"/>
      <c r="E30" s="484">
        <f>FHD_NUM_P_1</f>
        <v>1</v>
      </c>
      <c r="F30" s="1806" t="str">
        <f>FHD_P_1</f>
        <v>Выручка от регулируемых видов деятельности в сфере холодного водоснабжения</v>
      </c>
      <c r="G30" s="1804" t="s">
        <v>550</v>
      </c>
      <c r="H30" s="495"/>
      <c r="I30" s="495"/>
      <c r="J30" s="227" t="str">
        <f>FHD_NOTE_P_1</f>
        <v>Указывается выручка с распределением по видам деятельности.</v>
      </c>
      <c r="K30" s="481"/>
      <c r="AF30" s="1559">
        <v>19</v>
      </c>
    </row>
    <row r="31" spans="1:32" ht="213.75">
      <c r="D31" s="1566"/>
      <c r="E31" s="484">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550</v>
      </c>
      <c r="H31" s="496">
        <f>SUMIF($K33:$K71,$K31,H33:H71)</f>
        <v>0</v>
      </c>
      <c r="I31" s="496">
        <f>SUMIF($K33:$K71,$K31,I33:I71)</f>
        <v>0</v>
      </c>
      <c r="J31" s="227" t="str">
        <f>FHD_NOTE_P_2</f>
        <v>Указывается суммарная себестоимость производимых товаров.</v>
      </c>
      <c r="K31" s="1564" t="s">
        <v>565</v>
      </c>
      <c r="AF31" s="1559">
        <v>11</v>
      </c>
    </row>
    <row r="32" spans="1:32" ht="202.5">
      <c r="D32" s="1566"/>
      <c r="E32" s="484" t="str">
        <f>FHD_NUM_P_3</f>
        <v>2.1</v>
      </c>
      <c r="F32" s="1452" t="str">
        <f>FHD_P_3</f>
        <v>Расходы на оплату холодной воды, приобретаемой у других организаций для последующей подачи потребителям</v>
      </c>
      <c r="G32" s="1804" t="s">
        <v>550</v>
      </c>
      <c r="H32" s="495"/>
      <c r="I32" s="495"/>
      <c r="J32" s="227" t="str">
        <f>FHD_NOTE_P_3</f>
        <v/>
      </c>
      <c r="K32" s="1564" t="str">
        <f t="shared" ref="K32:K70" si="0">IF((LEN(E32)-LEN(SUBSTITUTE(E32,".","")))/LEN(".")=1,"p","")</f>
        <v>p</v>
      </c>
      <c r="AF32" s="1559">
        <v>11</v>
      </c>
    </row>
    <row r="33" spans="1:32">
      <c r="A33" s="2010" t="s">
        <v>566</v>
      </c>
      <c r="D33" s="1566"/>
      <c r="E33" s="484" t="str">
        <f>FHD_NUM_P_4</f>
        <v/>
      </c>
      <c r="F33" s="1452" t="str">
        <f>FHD_P_4</f>
        <v/>
      </c>
      <c r="G33" s="1804" t="s">
        <v>550</v>
      </c>
      <c r="H33" s="496">
        <f>SUMIF($F34:$F40,$F3,H34:H40)</f>
        <v>0</v>
      </c>
      <c r="I33" s="496">
        <f>SUMIF($F34:$F40,$F3,I34:I40)</f>
        <v>0</v>
      </c>
      <c r="J33" s="227" t="str">
        <f>FHD_NOTE_P_4</f>
        <v/>
      </c>
      <c r="K33" s="1564" t="str">
        <f t="shared" si="0"/>
        <v/>
      </c>
      <c r="AF33" s="1559">
        <v>0</v>
      </c>
    </row>
    <row r="34" spans="1:32" ht="11.25">
      <c r="A34" s="2010"/>
      <c r="B34" s="2011"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ht="11.25">
      <c r="A35" s="2010"/>
      <c r="B35" s="2011"/>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ht="11.25">
      <c r="A36" s="2010"/>
      <c r="B36" s="2011"/>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ht="11.25">
      <c r="A37" s="2010"/>
      <c r="B37" s="2011"/>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ht="11.25">
      <c r="A38" s="2010"/>
      <c r="B38" s="2011"/>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ht="11.25">
      <c r="A39" s="2010"/>
      <c r="B39" s="2011"/>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ht="14.25">
      <c r="A40" s="2010"/>
      <c r="C40" s="1564"/>
      <c r="D40" s="1561"/>
      <c r="E40" s="508"/>
      <c r="F40" s="509" t="s">
        <v>567</v>
      </c>
      <c r="G40" s="510"/>
      <c r="H40" s="511"/>
      <c r="I40" s="511"/>
      <c r="J40" s="239"/>
      <c r="K40" s="1564" t="str">
        <f t="shared" si="0"/>
        <v/>
      </c>
      <c r="L40" s="1564"/>
      <c r="M40" s="1564"/>
      <c r="R40" s="1564"/>
      <c r="U40" s="482"/>
      <c r="AA40" s="1560"/>
      <c r="AB40" s="1560"/>
      <c r="AC40" s="1560"/>
      <c r="AD40" s="1560"/>
      <c r="AE40" s="1560"/>
      <c r="AF40" s="1088">
        <v>0</v>
      </c>
    </row>
    <row r="41" spans="1:32" ht="19.5">
      <c r="A41" s="2010" t="s">
        <v>568</v>
      </c>
      <c r="D41" s="1566"/>
      <c r="E41" s="484" t="str">
        <f>FHD_NUM_P_5</f>
        <v/>
      </c>
      <c r="F41" s="1452" t="str">
        <f>FHD_P_5</f>
        <v/>
      </c>
      <c r="G41" s="1804" t="s">
        <v>550</v>
      </c>
      <c r="H41" s="495"/>
      <c r="I41" s="495"/>
      <c r="J41" s="227" t="str">
        <f>FHD_NOTE_P_5</f>
        <v/>
      </c>
      <c r="K41" s="1564" t="str">
        <f t="shared" si="0"/>
        <v/>
      </c>
      <c r="AF41" s="1559">
        <v>0</v>
      </c>
    </row>
    <row r="42" spans="1:32" ht="11.25">
      <c r="A42" s="2010"/>
      <c r="D42" s="1566"/>
      <c r="E42" s="484" t="str">
        <f>FHD_NUM_P_6</f>
        <v/>
      </c>
      <c r="F42" s="1452" t="str">
        <f>FHD_P_6</f>
        <v/>
      </c>
      <c r="G42" s="1804" t="s">
        <v>550</v>
      </c>
      <c r="H42" s="495"/>
      <c r="I42" s="495"/>
      <c r="J42" s="227" t="str">
        <f>FHD_NOTE_P_6</f>
        <v/>
      </c>
      <c r="K42" s="1564" t="str">
        <f t="shared" si="0"/>
        <v/>
      </c>
      <c r="AF42" s="1559">
        <v>0</v>
      </c>
    </row>
    <row r="43" spans="1:32" ht="11.25">
      <c r="A43" s="2010"/>
      <c r="D43" s="1566"/>
      <c r="E43" s="484" t="str">
        <f>FHD_NUM_P_7</f>
        <v/>
      </c>
      <c r="F43" s="1452" t="str">
        <f>FHD_P_7</f>
        <v/>
      </c>
      <c r="G43" s="1804" t="s">
        <v>550</v>
      </c>
      <c r="H43" s="495"/>
      <c r="I43" s="495"/>
      <c r="J43" s="227" t="str">
        <f>FHD_NOTE_P_7</f>
        <v/>
      </c>
      <c r="K43" s="1564" t="str">
        <f t="shared" si="0"/>
        <v/>
      </c>
      <c r="AF43" s="1559">
        <v>0</v>
      </c>
    </row>
    <row r="44" spans="1:32" ht="225">
      <c r="D44" s="1566"/>
      <c r="E44" s="484" t="str">
        <f>FHD_NUM_P_8</f>
        <v>2.2</v>
      </c>
      <c r="F44" s="1452" t="str">
        <f>FHD_P_8</f>
        <v>Расходы на приобретаемую электрическую энергию (мощность), используемую в технологическом процессе</v>
      </c>
      <c r="G44" s="1804" t="s">
        <v>550</v>
      </c>
      <c r="H44" s="495"/>
      <c r="I44" s="495"/>
      <c r="J44" s="227" t="str">
        <f>FHD_NOTE_P_8</f>
        <v/>
      </c>
      <c r="K44" s="1564" t="str">
        <f t="shared" si="0"/>
        <v>p</v>
      </c>
      <c r="AF44" s="1559">
        <v>11</v>
      </c>
    </row>
    <row r="45" spans="1:32" ht="146.25">
      <c r="D45" s="1566"/>
      <c r="E45" s="484" t="str">
        <f>FHD_NUM_P_9</f>
        <v>2.2.1</v>
      </c>
      <c r="F45" s="1578" t="str">
        <f>FHD_P_9</f>
        <v>Средневзвешенная стоимость 1 кВт.ч (с учетом мощности)</v>
      </c>
      <c r="G45" s="1804" t="s">
        <v>569</v>
      </c>
      <c r="H45" s="495"/>
      <c r="I45" s="495"/>
      <c r="J45" s="227" t="str">
        <f>FHD_NOTE_P_9</f>
        <v/>
      </c>
      <c r="K45" s="1564" t="str">
        <f t="shared" si="0"/>
        <v/>
      </c>
      <c r="AF45" s="1559">
        <v>11</v>
      </c>
    </row>
    <row r="46" spans="1:32" ht="112.5">
      <c r="A46" s="918"/>
      <c r="C46" s="1564"/>
      <c r="D46" s="512"/>
      <c r="E46" s="484" t="str">
        <f>FHD_NUM_P_10</f>
        <v>2.2.2</v>
      </c>
      <c r="F46" s="1578" t="str">
        <f>FHD_P_10</f>
        <v>Объём приобретения электрической энергии</v>
      </c>
      <c r="G46" s="1804" t="s">
        <v>570</v>
      </c>
      <c r="H46" s="495"/>
      <c r="I46" s="495"/>
      <c r="J46" s="227" t="str">
        <f>FHD_NOTE_P_10</f>
        <v/>
      </c>
      <c r="K46" s="1564" t="str">
        <f t="shared" si="0"/>
        <v/>
      </c>
      <c r="L46" s="1564"/>
      <c r="M46" s="1564"/>
      <c r="R46" s="1564"/>
      <c r="U46" s="482"/>
      <c r="AA46" s="1560"/>
      <c r="AB46" s="1560"/>
      <c r="AC46" s="1560"/>
      <c r="AD46" s="1560"/>
      <c r="AE46" s="1560"/>
      <c r="AF46" s="1088">
        <v>11</v>
      </c>
    </row>
    <row r="47" spans="1:32" ht="11.25">
      <c r="A47" s="920" t="s">
        <v>571</v>
      </c>
      <c r="C47" s="1564"/>
      <c r="D47" s="513"/>
      <c r="E47" s="484" t="str">
        <f>FHD_NUM_P_11</f>
        <v/>
      </c>
      <c r="F47" s="1452" t="str">
        <f>FHD_P_11</f>
        <v/>
      </c>
      <c r="G47" s="1804" t="s">
        <v>550</v>
      </c>
      <c r="H47" s="495"/>
      <c r="I47" s="495"/>
      <c r="J47" s="227" t="str">
        <f>FHD_NOTE_P_11</f>
        <v/>
      </c>
      <c r="K47" s="1564" t="str">
        <f t="shared" si="0"/>
        <v/>
      </c>
      <c r="L47" s="1564"/>
      <c r="M47" s="1564"/>
      <c r="R47" s="1564"/>
      <c r="U47" s="482"/>
      <c r="AA47" s="1560"/>
      <c r="AB47" s="1560"/>
      <c r="AC47" s="1560"/>
      <c r="AD47" s="1560"/>
      <c r="AE47" s="1560"/>
      <c r="AF47" s="1088">
        <v>0</v>
      </c>
    </row>
    <row r="48" spans="1:32" ht="157.5">
      <c r="A48" s="920" t="s">
        <v>572</v>
      </c>
      <c r="C48" s="1564"/>
      <c r="D48" s="1566"/>
      <c r="E48" s="484" t="str">
        <f>FHD_NUM_P_12</f>
        <v>2.3</v>
      </c>
      <c r="F48" s="1452" t="str">
        <f>FHD_P_12</f>
        <v>Расходы на химические реагенты, используемые в технологическом процессе</v>
      </c>
      <c r="G48" s="1804" t="s">
        <v>550</v>
      </c>
      <c r="H48" s="515"/>
      <c r="I48" s="515"/>
      <c r="J48" s="227" t="str">
        <f>FHD_NOTE_P_12</f>
        <v/>
      </c>
      <c r="K48" s="1564" t="str">
        <f t="shared" si="0"/>
        <v>p</v>
      </c>
      <c r="L48" s="1564"/>
      <c r="M48" s="1564"/>
      <c r="R48" s="1564"/>
      <c r="U48" s="482"/>
      <c r="AA48" s="1560"/>
      <c r="AB48" s="1560"/>
      <c r="AC48" s="1560"/>
      <c r="AD48" s="1560"/>
      <c r="AE48" s="1560"/>
      <c r="AF48" s="1088">
        <v>18</v>
      </c>
    </row>
    <row r="49" spans="1:32" ht="326.25">
      <c r="A49" s="919"/>
      <c r="C49" s="668"/>
      <c r="D49" s="611"/>
      <c r="E49" s="484" t="str">
        <f>FHD_NUM_P_13</f>
        <v>2.4</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ht="146.25">
      <c r="A50" s="919"/>
      <c r="C50" s="668"/>
      <c r="D50" s="611"/>
      <c r="E50" s="484" t="str">
        <f>FHD_NUM_P_14</f>
        <v>2.4.1</v>
      </c>
      <c r="F50" s="1578" t="str">
        <f>FHD_P_14</f>
        <v>Расходы на оплату труда основного производственного персонала</v>
      </c>
      <c r="G50" s="1804" t="s">
        <v>550</v>
      </c>
      <c r="H50" s="495"/>
      <c r="I50" s="495"/>
      <c r="J50" s="227" t="str">
        <f>FHD_NOTE_P_14</f>
        <v/>
      </c>
      <c r="K50" s="1564" t="str">
        <f t="shared" si="0"/>
        <v/>
      </c>
      <c r="L50" s="668"/>
      <c r="M50" s="668"/>
      <c r="R50" s="668"/>
      <c r="U50" s="669"/>
      <c r="AA50" s="670"/>
      <c r="AB50" s="670"/>
      <c r="AC50" s="670"/>
      <c r="AD50" s="670"/>
      <c r="AE50" s="670"/>
      <c r="AF50" s="667">
        <v>11</v>
      </c>
    </row>
    <row r="51" spans="1:32" ht="337.5">
      <c r="A51" s="919"/>
      <c r="C51" s="668"/>
      <c r="D51" s="611"/>
      <c r="E51" s="484" t="str">
        <f>FHD_NUM_P_15</f>
        <v>2.4.2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5"/>
      <c r="I51" s="495"/>
      <c r="J51" s="227" t="str">
        <f>FHD_NOTE_P_15</f>
        <v/>
      </c>
      <c r="K51" s="1564" t="str">
        <f t="shared" si="0"/>
        <v/>
      </c>
      <c r="L51" s="668"/>
      <c r="M51" s="668"/>
      <c r="R51" s="668"/>
      <c r="U51" s="669"/>
      <c r="AA51" s="670"/>
      <c r="AB51" s="670"/>
      <c r="AC51" s="670"/>
      <c r="AD51" s="670"/>
      <c r="AE51" s="670"/>
      <c r="AF51" s="667">
        <v>11</v>
      </c>
    </row>
    <row r="52" spans="1:32" ht="337.5">
      <c r="A52" s="918"/>
      <c r="C52" s="1564"/>
      <c r="D52" s="1566"/>
      <c r="E52" s="484" t="str">
        <f>FHD_NUM_P_16</f>
        <v>2.5</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ht="168.75">
      <c r="A53" s="918"/>
      <c r="C53" s="1564"/>
      <c r="D53" s="1566"/>
      <c r="E53" s="484" t="str">
        <f>FHD_NUM_P_17</f>
        <v>2.5.1</v>
      </c>
      <c r="F53" s="1578" t="str">
        <f>FHD_P_17</f>
        <v>Расходы на оплату труда административно-управленческого персонала</v>
      </c>
      <c r="G53" s="1804" t="s">
        <v>550</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ht="360">
      <c r="A54" s="918"/>
      <c r="C54" s="1564"/>
      <c r="D54" s="1566"/>
      <c r="E54" s="484" t="str">
        <f>FHD_NUM_P_18</f>
        <v>2.5.2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ht="135">
      <c r="A55" s="918"/>
      <c r="C55" s="1564"/>
      <c r="D55" s="513"/>
      <c r="E55" s="484" t="str">
        <f>FHD_NUM_P_19</f>
        <v>2.6</v>
      </c>
      <c r="F55" s="1452" t="str">
        <f>FHD_P_19</f>
        <v>Расходы на амортизацию основных средств и нематериальных активов</v>
      </c>
      <c r="G55" s="1804" t="s">
        <v>550</v>
      </c>
      <c r="H55" s="495"/>
      <c r="I55" s="495"/>
      <c r="J55" s="227" t="str">
        <f>FHD_NOTE_P_19</f>
        <v/>
      </c>
      <c r="K55" s="1564" t="str">
        <f t="shared" si="0"/>
        <v>p</v>
      </c>
      <c r="L55" s="1564"/>
      <c r="M55" s="1564"/>
      <c r="R55" s="1564"/>
      <c r="U55" s="482"/>
      <c r="AA55" s="1560"/>
      <c r="AB55" s="1560"/>
      <c r="AC55" s="1560"/>
      <c r="AD55" s="1560"/>
      <c r="AE55" s="1560"/>
      <c r="AF55" s="1088">
        <v>11</v>
      </c>
    </row>
    <row r="56" spans="1:32" ht="101.25">
      <c r="A56" s="918"/>
      <c r="C56" s="1564"/>
      <c r="D56" s="513"/>
      <c r="E56" s="484" t="str">
        <f>FHD_NUM_P_20</f>
        <v>2.6.1</v>
      </c>
      <c r="F56" s="1578" t="str">
        <f>FHD_P_20</f>
        <v>Расходы на амортизацию основных средств</v>
      </c>
      <c r="G56" s="1804" t="s">
        <v>550</v>
      </c>
      <c r="H56" s="495"/>
      <c r="I56" s="495"/>
      <c r="J56" s="227" t="str">
        <f>FHD_NOTE_P_20</f>
        <v/>
      </c>
      <c r="K56" s="1564" t="str">
        <f t="shared" si="0"/>
        <v/>
      </c>
      <c r="L56" s="1564"/>
      <c r="M56" s="1564"/>
      <c r="R56" s="1564"/>
      <c r="U56" s="482"/>
      <c r="AA56" s="1560"/>
      <c r="AB56" s="1560"/>
      <c r="AC56" s="1560"/>
      <c r="AD56" s="1560"/>
      <c r="AE56" s="1560"/>
      <c r="AF56" s="1088">
        <v>11</v>
      </c>
    </row>
    <row r="57" spans="1:32" ht="123.75">
      <c r="A57" s="918"/>
      <c r="C57" s="1564"/>
      <c r="D57" s="513"/>
      <c r="E57" s="484" t="str">
        <f>FHD_NUM_P_21</f>
        <v>2.6.2</v>
      </c>
      <c r="F57" s="1578" t="str">
        <f>FHD_P_21</f>
        <v>Расходы на амортизацию нематериальных активов</v>
      </c>
      <c r="G57" s="1804" t="s">
        <v>550</v>
      </c>
      <c r="H57" s="495"/>
      <c r="I57" s="495"/>
      <c r="J57" s="227" t="str">
        <f>FHD_NOTE_P_21</f>
        <v/>
      </c>
      <c r="K57" s="1564" t="str">
        <f t="shared" si="0"/>
        <v/>
      </c>
      <c r="L57" s="1564"/>
      <c r="M57" s="1564"/>
      <c r="R57" s="1564"/>
      <c r="U57" s="482"/>
      <c r="AA57" s="1560"/>
      <c r="AB57" s="1560"/>
      <c r="AC57" s="1560"/>
      <c r="AD57" s="1560"/>
      <c r="AE57" s="1560"/>
      <c r="AF57" s="1088">
        <v>11</v>
      </c>
    </row>
    <row r="58" spans="1:32" ht="258.75">
      <c r="A58" s="918"/>
      <c r="C58" s="1564"/>
      <c r="D58" s="1566"/>
      <c r="E58" s="484" t="str">
        <f>FHD_NUM_P_22</f>
        <v>2.7</v>
      </c>
      <c r="F58" s="1452" t="str">
        <f>FHD_P_22</f>
        <v>Расходы на аренду имущества, используемого для осуществления регулируемых видов деятельности в сфере холодного водоснабжения</v>
      </c>
      <c r="G58" s="1804" t="s">
        <v>550</v>
      </c>
      <c r="H58" s="495"/>
      <c r="I58" s="495"/>
      <c r="J58" s="227" t="str">
        <f>FHD_NOTE_P_22</f>
        <v/>
      </c>
      <c r="K58" s="1564" t="str">
        <f t="shared" si="0"/>
        <v>p</v>
      </c>
      <c r="L58" s="1564"/>
      <c r="M58" s="1564"/>
      <c r="R58" s="1564"/>
      <c r="U58" s="482"/>
      <c r="AA58" s="1560"/>
      <c r="AB58" s="1560"/>
      <c r="AC58" s="1560"/>
      <c r="AD58" s="1560"/>
      <c r="AE58" s="1560"/>
      <c r="AF58" s="1088">
        <v>11</v>
      </c>
    </row>
    <row r="59" spans="1:32" ht="90">
      <c r="A59" s="918"/>
      <c r="C59" s="1564"/>
      <c r="D59" s="513"/>
      <c r="E59" s="484" t="str">
        <f>FHD_NUM_P_23</f>
        <v>2.8</v>
      </c>
      <c r="F59" s="1452" t="str">
        <f>FHD_P_23</f>
        <v>Общепроизводственные расходы, в том числе:</v>
      </c>
      <c r="G59" s="1804" t="s">
        <v>550</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ht="135">
      <c r="A60" s="918"/>
      <c r="C60" s="1564"/>
      <c r="D60" s="513"/>
      <c r="E60" s="484" t="str">
        <f>FHD_NUM_P_24</f>
        <v>2.8.1</v>
      </c>
      <c r="F60" s="1578" t="str">
        <f>FHD_P_24</f>
        <v>Расходы на текущий ремонт</v>
      </c>
      <c r="G60" s="1804" t="s">
        <v>550</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ht="146.25">
      <c r="A61" s="918"/>
      <c r="C61" s="1564"/>
      <c r="D61" s="513"/>
      <c r="E61" s="484" t="str">
        <f>FHD_NUM_P_25</f>
        <v>2.8.2</v>
      </c>
      <c r="F61" s="1578" t="str">
        <f>FHD_P_25</f>
        <v>Расходы на капитальный ремонт</v>
      </c>
      <c r="G61" s="1804" t="s">
        <v>550</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ht="78.75">
      <c r="A62" s="918"/>
      <c r="C62" s="1564"/>
      <c r="D62" s="1566"/>
      <c r="E62" s="484" t="str">
        <f>FHD_NUM_P_26</f>
        <v>2.9</v>
      </c>
      <c r="F62" s="1452" t="str">
        <f>FHD_P_26</f>
        <v>Общехозяйственные расходы, в том числе:</v>
      </c>
      <c r="G62" s="1804" t="s">
        <v>550</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ht="135">
      <c r="A63" s="918"/>
      <c r="C63" s="1564"/>
      <c r="D63" s="1566"/>
      <c r="E63" s="484" t="str">
        <f>FHD_NUM_P_27</f>
        <v>2.9.1</v>
      </c>
      <c r="F63" s="1578" t="str">
        <f>FHD_P_27</f>
        <v>Расходы на текущий ремонт</v>
      </c>
      <c r="G63" s="1804" t="s">
        <v>550</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ht="146.25">
      <c r="A64" s="918"/>
      <c r="C64" s="1564"/>
      <c r="D64" s="1566"/>
      <c r="E64" s="484" t="str">
        <f>FHD_NUM_P_28</f>
        <v>2.9.2</v>
      </c>
      <c r="F64" s="1578" t="str">
        <f>FHD_P_28</f>
        <v>Расходы на капитальный ремонт</v>
      </c>
      <c r="G64" s="1804" t="s">
        <v>550</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ht="303.75">
      <c r="A65" s="918"/>
      <c r="C65" s="1564"/>
      <c r="D65" s="1566"/>
      <c r="E65" s="484" t="str">
        <f>FHD_NUM_P_29</f>
        <v>2.10</v>
      </c>
      <c r="F65" s="1452" t="str">
        <f>FHD_P_29</f>
        <v>Расходы на капитальный и текущий ремонт основных средств</v>
      </c>
      <c r="G65" s="1804" t="s">
        <v>550</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ht="409.5">
      <c r="A66" s="918"/>
      <c r="C66" s="1564"/>
      <c r="D66" s="1566"/>
      <c r="E66" s="484" t="str">
        <f>FHD_NUM_P_30</f>
        <v>2.10.1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7" t="s">
        <v>573</v>
      </c>
      <c r="I66" s="1577" t="s">
        <v>573</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ht="303.75">
      <c r="A67" s="2010" t="s">
        <v>574</v>
      </c>
      <c r="C67" s="1564"/>
      <c r="D67" s="1566"/>
      <c r="E67" s="484" t="str">
        <f>FHD_NUM_P_31</f>
        <v>2.11</v>
      </c>
      <c r="F67" s="1452"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550</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ht="409.5">
      <c r="A68" s="2010"/>
      <c r="C68" s="1564"/>
      <c r="D68" s="1566"/>
      <c r="E68" s="484" t="str">
        <f>FHD_NUM_P_32</f>
        <v>2.11.1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7" t="s">
        <v>573</v>
      </c>
      <c r="I68" s="1577" t="s">
        <v>573</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ht="409.5">
      <c r="A69" s="918"/>
      <c r="C69" s="1564"/>
      <c r="D69" s="1566"/>
      <c r="E69" s="484" t="str">
        <f>FHD_NUM_P_33</f>
        <v>2.12</v>
      </c>
      <c r="F69" s="1452"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550</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ht="11.25">
      <c r="A70" s="1095"/>
      <c r="D70" s="486"/>
      <c r="E70" s="944" t="str">
        <f>E69&amp;".0"</f>
        <v>2.12.0</v>
      </c>
      <c r="F70" s="922"/>
      <c r="G70" s="944"/>
      <c r="H70" s="923"/>
      <c r="I70" s="923"/>
      <c r="J70" s="924"/>
      <c r="K70" s="1564" t="str">
        <f t="shared" si="0"/>
        <v/>
      </c>
      <c r="AF70" s="1564">
        <v>1</v>
      </c>
    </row>
    <row r="71" spans="1:32" ht="14.25">
      <c r="A71" s="918"/>
      <c r="C71" s="1564"/>
      <c r="D71" s="1561"/>
      <c r="E71" s="508"/>
      <c r="F71" s="509" t="s">
        <v>575</v>
      </c>
      <c r="G71" s="510"/>
      <c r="H71" s="511"/>
      <c r="I71" s="511"/>
      <c r="J71" s="239"/>
      <c r="K71" s="1564"/>
      <c r="L71" s="1564"/>
      <c r="M71" s="1564"/>
      <c r="R71" s="1564"/>
      <c r="U71" s="482"/>
      <c r="AA71" s="1560"/>
      <c r="AB71" s="1560"/>
      <c r="AC71" s="1560"/>
      <c r="AD71" s="1560"/>
      <c r="AE71" s="1560"/>
      <c r="AF71" s="1088">
        <v>14</v>
      </c>
    </row>
    <row r="72" spans="1:32" ht="18.75">
      <c r="A72" s="920" t="s">
        <v>576</v>
      </c>
      <c r="C72" s="1564"/>
      <c r="D72" s="1566"/>
      <c r="E72" s="484" t="str">
        <f>FHD_NUM_P_34</f>
        <v/>
      </c>
      <c r="F72" s="1806" t="str">
        <f>FHD_P_34</f>
        <v/>
      </c>
      <c r="G72" s="1804" t="s">
        <v>550</v>
      </c>
      <c r="H72" s="495"/>
      <c r="I72" s="495"/>
      <c r="J72" s="227" t="str">
        <f>FHD_NOTE_P_34</f>
        <v/>
      </c>
      <c r="K72" s="481"/>
      <c r="L72" s="1564"/>
      <c r="M72" s="1564"/>
      <c r="R72" s="1564"/>
      <c r="U72" s="482"/>
      <c r="AA72" s="1560"/>
      <c r="AB72" s="1560"/>
      <c r="AC72" s="1560"/>
      <c r="AD72" s="1560"/>
      <c r="AE72" s="1560"/>
      <c r="AF72" s="1088">
        <v>0</v>
      </c>
    </row>
    <row r="73" spans="1:32" ht="180">
      <c r="A73" s="918"/>
      <c r="C73" s="1564"/>
      <c r="D73" s="513"/>
      <c r="E73" s="484" t="str">
        <f>FHD_NUM_P_35</f>
        <v>3</v>
      </c>
      <c r="F73" s="1806" t="str">
        <f>FHD_P_35</f>
        <v>Чистая прибыль, полученная от регулируемого вида деятельности в сфере холодного водоснабжения, в том числе:</v>
      </c>
      <c r="G73" s="1804" t="s">
        <v>550</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ht="258.75">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5"/>
      <c r="I74" s="495"/>
      <c r="J74" s="227" t="str">
        <f>FHD_NOTE_P_36</f>
        <v/>
      </c>
      <c r="K74" s="481"/>
      <c r="L74" s="1564"/>
      <c r="M74" s="1564"/>
      <c r="R74" s="1564"/>
      <c r="U74" s="482"/>
      <c r="AA74" s="1560"/>
      <c r="AB74" s="1560"/>
      <c r="AC74" s="1560"/>
      <c r="AD74" s="1560"/>
      <c r="AE74" s="1560"/>
      <c r="AF74" s="1088">
        <v>19</v>
      </c>
    </row>
    <row r="75" spans="1:32" ht="90">
      <c r="A75" s="918"/>
      <c r="C75" s="1564"/>
      <c r="D75" s="1566"/>
      <c r="E75" s="484" t="str">
        <f>FHD_NUM_P_37</f>
        <v>4</v>
      </c>
      <c r="F75" s="1806" t="str">
        <f>FHD_P_37</f>
        <v>Изменение стоимости основных фондов, в том числе:</v>
      </c>
      <c r="G75" s="1804" t="s">
        <v>550</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ht="191.25">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550</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ht="191.25">
      <c r="A77" s="918"/>
      <c r="C77" s="1564"/>
      <c r="D77" s="1566"/>
      <c r="E77" s="484" t="str">
        <f>FHD_NUM_P_39</f>
        <v>4.1.1</v>
      </c>
      <c r="F77" s="1578" t="str">
        <f>FHD_P_39</f>
        <v>Изменение стоимости основных фондов за счет их ввода в эксплуатацию</v>
      </c>
      <c r="G77" s="1995" t="s">
        <v>550</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ht="191.25">
      <c r="A78" s="918"/>
      <c r="C78" s="1564"/>
      <c r="D78" s="1566"/>
      <c r="E78" s="484" t="str">
        <f>FHD_NUM_P_40</f>
        <v>4.1.2</v>
      </c>
      <c r="F78" s="1999" t="str">
        <f>FHD_P_40</f>
        <v>Изменение стоимости основных фондов за счет их вывода в эксплуатацию</v>
      </c>
      <c r="G78" s="1994" t="s">
        <v>550</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ht="123.75">
      <c r="A79" s="918"/>
      <c r="C79" s="1564"/>
      <c r="D79" s="1566"/>
      <c r="E79" s="484" t="str">
        <f>FHD_NUM_P_41</f>
        <v>4.2</v>
      </c>
      <c r="F79" s="1998" t="str">
        <f>FHD_P_41</f>
        <v>Изменение стоимости основных фондов за счет их переоценки</v>
      </c>
      <c r="G79" s="1994" t="s">
        <v>550</v>
      </c>
      <c r="H79" s="907"/>
      <c r="I79" s="495"/>
      <c r="J79" s="227" t="str">
        <f>FHD_NOTE_P_41</f>
        <v/>
      </c>
      <c r="K79" s="481"/>
      <c r="L79" s="1564"/>
      <c r="M79" s="1564"/>
      <c r="R79" s="1564"/>
      <c r="U79" s="482"/>
      <c r="AA79" s="1560"/>
      <c r="AB79" s="1560"/>
      <c r="AC79" s="1560"/>
      <c r="AD79" s="1560"/>
      <c r="AE79" s="1560"/>
      <c r="AF79" s="1088">
        <v>19</v>
      </c>
    </row>
    <row r="80" spans="1:32" ht="191.25">
      <c r="A80" s="920" t="s">
        <v>577</v>
      </c>
      <c r="C80" s="1564"/>
      <c r="D80" s="1566"/>
      <c r="E80" s="484"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550</v>
      </c>
      <c r="H80" s="907"/>
      <c r="I80" s="495"/>
      <c r="J80" s="227" t="str">
        <f>FHD_NOTE_P_42</f>
        <v/>
      </c>
      <c r="K80" s="481"/>
      <c r="L80" s="1564"/>
      <c r="M80" s="1564"/>
      <c r="R80" s="1564"/>
      <c r="U80" s="482"/>
      <c r="AA80" s="1560"/>
      <c r="AB80" s="1560"/>
      <c r="AC80" s="1560"/>
      <c r="AD80" s="1560"/>
      <c r="AE80" s="1560"/>
      <c r="AF80" s="1088">
        <v>19</v>
      </c>
    </row>
    <row r="81" spans="1:32" ht="409.5">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304</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ht="33.75">
      <c r="A82" s="2010" t="s">
        <v>578</v>
      </c>
      <c r="C82" s="673"/>
      <c r="D82" s="671"/>
      <c r="E82" s="484" t="str">
        <f>FHD_NUM_P_44</f>
        <v>7</v>
      </c>
      <c r="F82" s="1806" t="str">
        <f>FHD_P_44</f>
        <v>Объём поднятой воды</v>
      </c>
      <c r="G82" s="1807" t="s">
        <v>579</v>
      </c>
      <c r="H82" s="908"/>
      <c r="I82" s="515"/>
      <c r="J82" s="227" t="str">
        <f>FHD_NOTE_P_44</f>
        <v/>
      </c>
      <c r="K82" s="672"/>
      <c r="L82" s="673"/>
      <c r="M82" s="673"/>
      <c r="R82" s="673"/>
      <c r="U82" s="674"/>
      <c r="AA82" s="675"/>
      <c r="AB82" s="675"/>
      <c r="AC82" s="675"/>
      <c r="AD82" s="675"/>
      <c r="AE82" s="675"/>
      <c r="AF82" s="841">
        <v>0</v>
      </c>
    </row>
    <row r="83" spans="1:32" ht="33.75">
      <c r="A83" s="2010"/>
      <c r="C83" s="673"/>
      <c r="D83" s="671"/>
      <c r="E83" s="484" t="str">
        <f>FHD_NUM_P_45</f>
        <v>8</v>
      </c>
      <c r="F83" s="1806" t="str">
        <f>FHD_P_45</f>
        <v>Объём покупной воды</v>
      </c>
      <c r="G83" s="1807" t="s">
        <v>579</v>
      </c>
      <c r="H83" s="908"/>
      <c r="I83" s="515"/>
      <c r="J83" s="227" t="str">
        <f>FHD_NOTE_P_45</f>
        <v/>
      </c>
      <c r="K83" s="672"/>
      <c r="L83" s="673"/>
      <c r="M83" s="673"/>
      <c r="R83" s="673"/>
      <c r="U83" s="674"/>
      <c r="AA83" s="675"/>
      <c r="AB83" s="675"/>
      <c r="AC83" s="675"/>
      <c r="AD83" s="675"/>
      <c r="AE83" s="675"/>
      <c r="AF83" s="841">
        <v>0</v>
      </c>
    </row>
    <row r="84" spans="1:32" ht="90">
      <c r="A84" s="2010"/>
      <c r="C84" s="673"/>
      <c r="D84" s="676"/>
      <c r="E84" s="484" t="str">
        <f>FHD_NUM_P_46</f>
        <v>9</v>
      </c>
      <c r="F84" s="1806" t="str">
        <f>FHD_P_46</f>
        <v>Объём воды, пропущенной через очистные сооружения</v>
      </c>
      <c r="G84" s="1807" t="s">
        <v>579</v>
      </c>
      <c r="H84" s="908"/>
      <c r="I84" s="515"/>
      <c r="J84" s="227" t="str">
        <f>FHD_NOTE_P_46</f>
        <v/>
      </c>
      <c r="K84" s="672"/>
      <c r="L84" s="673"/>
      <c r="M84" s="673"/>
      <c r="R84" s="673"/>
      <c r="U84" s="674"/>
      <c r="AA84" s="675"/>
      <c r="AB84" s="675"/>
      <c r="AC84" s="675"/>
      <c r="AD84" s="675"/>
      <c r="AE84" s="675"/>
      <c r="AF84" s="841">
        <v>0</v>
      </c>
    </row>
    <row r="85" spans="1:32" ht="90">
      <c r="A85" s="2010"/>
      <c r="C85" s="673"/>
      <c r="D85" s="671"/>
      <c r="E85" s="484" t="str">
        <f>FHD_NUM_P_47</f>
        <v>10</v>
      </c>
      <c r="F85" s="1806" t="str">
        <f>FHD_P_47</f>
        <v>Объём отпущенной потребителям воды, в том числе:</v>
      </c>
      <c r="G85" s="1807" t="s">
        <v>579</v>
      </c>
      <c r="H85" s="908"/>
      <c r="I85" s="515"/>
      <c r="J85" s="227" t="str">
        <f>FHD_NOTE_P_47</f>
        <v>Указывается общий объем отпущенной потребителям воды.</v>
      </c>
      <c r="K85" s="672"/>
      <c r="L85" s="673"/>
      <c r="M85" s="673"/>
      <c r="R85" s="673"/>
      <c r="U85" s="674"/>
      <c r="AA85" s="675"/>
      <c r="AB85" s="675"/>
      <c r="AC85" s="675"/>
      <c r="AD85" s="675"/>
      <c r="AE85" s="675"/>
      <c r="AF85" s="841">
        <v>0</v>
      </c>
    </row>
    <row r="86" spans="1:32" ht="112.5">
      <c r="A86" s="2010"/>
      <c r="B86" s="841"/>
      <c r="C86" s="673"/>
      <c r="D86" s="671"/>
      <c r="E86" s="484" t="str">
        <f>FHD_NUM_P_48</f>
        <v>10.1</v>
      </c>
      <c r="F86" s="1806" t="str">
        <f>FHD_P_48</f>
        <v>Объём отпущенной потребителям воды, определенный по приборам учета</v>
      </c>
      <c r="G86" s="1807" t="s">
        <v>579</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ht="123.75">
      <c r="A87" s="2010"/>
      <c r="B87" s="841"/>
      <c r="C87" s="673"/>
      <c r="D87" s="671"/>
      <c r="E87" s="484" t="str">
        <f>FHD_NUM_P_49</f>
        <v>10.2</v>
      </c>
      <c r="F87" s="1806" t="str">
        <f>FHD_P_49</f>
        <v>Объём отпущенной потребителям воды, определенный расчетным способом</v>
      </c>
      <c r="G87" s="1807" t="s">
        <v>579</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ht="168.75">
      <c r="A88" s="2010"/>
      <c r="B88" s="841"/>
      <c r="C88" s="673"/>
      <c r="D88" s="671"/>
      <c r="E88" s="484" t="str">
        <f>FHD_NUM_P_50</f>
        <v>10.2.1</v>
      </c>
      <c r="F88" s="1806" t="str">
        <f>FHD_P_50</f>
        <v>Объём отпущенной потребителям воды, определенный по нормативам потребления коммунальных услуг</v>
      </c>
      <c r="G88" s="1807" t="s">
        <v>579</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ht="168.75">
      <c r="A89" s="2010"/>
      <c r="B89" s="841"/>
      <c r="C89" s="673"/>
      <c r="D89" s="671"/>
      <c r="E89" s="484"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579</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ht="33.75">
      <c r="A90" s="2010"/>
      <c r="B90" s="841"/>
      <c r="C90" s="673"/>
      <c r="D90" s="671"/>
      <c r="E90" s="484" t="str">
        <f>FHD_NUM_P_52</f>
        <v>11</v>
      </c>
      <c r="F90" s="1806" t="str">
        <f>FHD_P_52</f>
        <v>Потери воды в сетях</v>
      </c>
      <c r="G90" s="1807" t="s">
        <v>556</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ht="22.5">
      <c r="A91" s="2012" t="s">
        <v>580</v>
      </c>
      <c r="C91" s="673"/>
      <c r="D91" s="671"/>
      <c r="E91" s="484" t="str">
        <f>FHD_NUM_P_53</f>
        <v/>
      </c>
      <c r="F91" s="1806" t="str">
        <f>FHD_P_53</f>
        <v/>
      </c>
      <c r="G91" s="1807" t="s">
        <v>579</v>
      </c>
      <c r="H91" s="908"/>
      <c r="I91" s="515"/>
      <c r="J91" s="227" t="str">
        <f>FHD_NOTE_P_53</f>
        <v/>
      </c>
      <c r="K91" s="672"/>
      <c r="L91" s="673"/>
      <c r="M91" s="673"/>
      <c r="R91" s="673"/>
      <c r="U91" s="674"/>
      <c r="AA91" s="675"/>
      <c r="AB91" s="675"/>
      <c r="AC91" s="675"/>
      <c r="AD91" s="675"/>
      <c r="AE91" s="675"/>
      <c r="AF91" s="841">
        <v>0</v>
      </c>
    </row>
    <row r="92" spans="1:32" ht="22.5">
      <c r="A92" s="2012"/>
      <c r="C92" s="673"/>
      <c r="D92" s="671"/>
      <c r="E92" s="484" t="str">
        <f>FHD_NUM_P_54</f>
        <v/>
      </c>
      <c r="F92" s="1806" t="str">
        <f>FHD_P_54</f>
        <v/>
      </c>
      <c r="G92" s="1807" t="s">
        <v>579</v>
      </c>
      <c r="H92" s="908"/>
      <c r="I92" s="515"/>
      <c r="J92" s="227" t="str">
        <f>FHD_NOTE_P_54</f>
        <v/>
      </c>
      <c r="K92" s="672"/>
      <c r="L92" s="673"/>
      <c r="M92" s="673"/>
      <c r="R92" s="673"/>
      <c r="U92" s="674"/>
      <c r="AA92" s="675"/>
      <c r="AB92" s="675"/>
      <c r="AC92" s="675"/>
      <c r="AD92" s="675"/>
      <c r="AE92" s="675"/>
      <c r="AF92" s="841">
        <v>0</v>
      </c>
    </row>
    <row r="93" spans="1:32" ht="18.75">
      <c r="A93" s="2012"/>
      <c r="C93" s="673"/>
      <c r="D93" s="676"/>
      <c r="E93" s="484" t="str">
        <f>FHD_NUM_P_55</f>
        <v/>
      </c>
      <c r="F93" s="1806" t="str">
        <f>FHD_P_55</f>
        <v/>
      </c>
      <c r="G93" s="1810"/>
      <c r="H93" s="908"/>
      <c r="I93" s="515"/>
      <c r="J93" s="227" t="str">
        <f>FHD_NOTE_P_55</f>
        <v/>
      </c>
      <c r="K93" s="672"/>
      <c r="L93" s="673"/>
      <c r="M93" s="673"/>
      <c r="R93" s="673"/>
      <c r="U93" s="674"/>
      <c r="AA93" s="675"/>
      <c r="AB93" s="675"/>
      <c r="AC93" s="675"/>
      <c r="AD93" s="675"/>
      <c r="AE93" s="675"/>
      <c r="AF93" s="841">
        <v>0</v>
      </c>
    </row>
    <row r="94" spans="1:32" ht="18.75">
      <c r="A94" s="2012"/>
      <c r="C94" s="673"/>
      <c r="D94" s="671"/>
      <c r="E94" s="484" t="str">
        <f>FHD_NUM_P_56</f>
        <v/>
      </c>
      <c r="F94" s="1806" t="str">
        <f>FHD_P_56</f>
        <v/>
      </c>
      <c r="G94" s="1807" t="s">
        <v>581</v>
      </c>
      <c r="H94" s="908"/>
      <c r="I94" s="515"/>
      <c r="J94" s="227" t="str">
        <f>FHD_NOTE_P_56</f>
        <v/>
      </c>
      <c r="K94" s="672"/>
      <c r="L94" s="673"/>
      <c r="M94" s="673"/>
      <c r="R94" s="673"/>
      <c r="U94" s="674"/>
      <c r="AA94" s="675"/>
      <c r="AB94" s="675"/>
      <c r="AC94" s="675"/>
      <c r="AD94" s="675"/>
      <c r="AE94" s="675"/>
      <c r="AF94" s="841">
        <v>0</v>
      </c>
    </row>
    <row r="95" spans="1:32" ht="18.75">
      <c r="A95" s="2012"/>
      <c r="B95" s="841"/>
      <c r="C95" s="673"/>
      <c r="D95" s="671"/>
      <c r="E95" s="484" t="str">
        <f>FHD_NUM_P_57</f>
        <v/>
      </c>
      <c r="F95" s="1806" t="str">
        <f>FHD_P_57</f>
        <v/>
      </c>
      <c r="G95" s="1807" t="s">
        <v>556</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22.5">
      <c r="A96" s="2010" t="s">
        <v>582</v>
      </c>
      <c r="D96" s="1566"/>
      <c r="E96" s="484" t="str">
        <f>FHD_NUM_P_58</f>
        <v/>
      </c>
      <c r="F96" s="1806" t="str">
        <f>FHD_P_58</f>
        <v/>
      </c>
      <c r="G96" s="1807" t="s">
        <v>579</v>
      </c>
      <c r="H96" s="908"/>
      <c r="I96" s="515"/>
      <c r="J96" s="227" t="str">
        <f>FHD_NOTE_P_58</f>
        <v/>
      </c>
      <c r="K96" s="481"/>
      <c r="AF96" s="1559">
        <v>0</v>
      </c>
    </row>
    <row r="97" spans="1:32" ht="22.5">
      <c r="A97" s="2010"/>
      <c r="D97" s="1566"/>
      <c r="E97" s="484" t="str">
        <f>FHD_NUM_P_59</f>
        <v/>
      </c>
      <c r="F97" s="1806" t="str">
        <f>FHD_P_59</f>
        <v/>
      </c>
      <c r="G97" s="1807" t="s">
        <v>579</v>
      </c>
      <c r="H97" s="908"/>
      <c r="I97" s="515"/>
      <c r="J97" s="227" t="str">
        <f>FHD_NOTE_P_59</f>
        <v/>
      </c>
      <c r="K97" s="481"/>
      <c r="AF97" s="1559">
        <v>0</v>
      </c>
    </row>
    <row r="98" spans="1:32" ht="22.5">
      <c r="A98" s="2010"/>
      <c r="D98" s="1566"/>
      <c r="E98" s="484" t="str">
        <f>FHD_NUM_P_60</f>
        <v/>
      </c>
      <c r="F98" s="1806" t="str">
        <f>FHD_P_60</f>
        <v/>
      </c>
      <c r="G98" s="1807" t="s">
        <v>579</v>
      </c>
      <c r="H98" s="908"/>
      <c r="I98" s="515"/>
      <c r="J98" s="227" t="str">
        <f>FHD_NOTE_P_60</f>
        <v/>
      </c>
      <c r="K98" s="481"/>
      <c r="AF98" s="1559">
        <v>0</v>
      </c>
    </row>
    <row r="99" spans="1:32" ht="18.75">
      <c r="A99" s="2010" t="s">
        <v>583</v>
      </c>
      <c r="C99" s="1564"/>
      <c r="D99" s="1566"/>
      <c r="E99" s="484" t="str">
        <f>FHD_NUM_P_61</f>
        <v/>
      </c>
      <c r="F99" s="1806" t="str">
        <f>FHD_P_61</f>
        <v/>
      </c>
      <c r="G99" s="1804" t="s">
        <v>554</v>
      </c>
      <c r="H99" s="910"/>
      <c r="I99" s="680"/>
      <c r="J99" s="227" t="str">
        <f>FHD_NOTE_P_61</f>
        <v/>
      </c>
      <c r="K99" s="481"/>
      <c r="L99" s="1564"/>
      <c r="M99" s="1564"/>
      <c r="R99" s="1564"/>
      <c r="U99" s="482"/>
      <c r="AA99" s="1560"/>
      <c r="AB99" s="1560"/>
      <c r="AC99" s="1560"/>
      <c r="AD99" s="1560"/>
      <c r="AE99" s="1560"/>
      <c r="AF99" s="1088">
        <v>0</v>
      </c>
    </row>
    <row r="100" spans="1:32" ht="11.25">
      <c r="A100" s="2010"/>
      <c r="D100" s="486"/>
      <c r="E100" s="944" t="str">
        <f>E99&amp;".0"</f>
        <v>.0</v>
      </c>
      <c r="F100" s="925"/>
      <c r="G100" s="926"/>
      <c r="H100" s="923"/>
      <c r="I100" s="923"/>
      <c r="J100" s="927"/>
      <c r="AF100" s="1564">
        <v>0</v>
      </c>
    </row>
    <row r="101" spans="1:32" ht="225">
      <c r="A101" s="2010"/>
      <c r="D101" s="1561"/>
      <c r="E101" s="902"/>
      <c r="F101" s="903" t="s">
        <v>584</v>
      </c>
      <c r="G101" s="510"/>
      <c r="H101" s="511"/>
      <c r="I101" s="511"/>
      <c r="J101" s="935" t="s">
        <v>585</v>
      </c>
      <c r="K101" s="481"/>
      <c r="AF101" s="1559">
        <v>0</v>
      </c>
    </row>
    <row r="102" spans="1:32" ht="18.75">
      <c r="A102" s="2010"/>
      <c r="C102" s="1564"/>
      <c r="D102" s="1566"/>
      <c r="E102" s="484" t="str">
        <f>FHD_NUM_P_62</f>
        <v/>
      </c>
      <c r="F102" s="1806" t="str">
        <f>FHD_P_62</f>
        <v/>
      </c>
      <c r="G102" s="1803" t="s">
        <v>554</v>
      </c>
      <c r="H102" s="495"/>
      <c r="I102" s="495"/>
      <c r="J102" s="227" t="str">
        <f>FHD_NOTE_P_62</f>
        <v/>
      </c>
      <c r="K102" s="481"/>
      <c r="L102" s="1564"/>
      <c r="M102" s="1564"/>
      <c r="R102" s="1564"/>
      <c r="U102" s="482"/>
      <c r="AA102" s="1560"/>
      <c r="AB102" s="1560"/>
      <c r="AC102" s="1560"/>
      <c r="AD102" s="1560"/>
      <c r="AE102" s="1560"/>
      <c r="AF102" s="1088">
        <v>0</v>
      </c>
    </row>
    <row r="103" spans="1:32" ht="18.75">
      <c r="A103" s="2010"/>
      <c r="C103" s="1564"/>
      <c r="D103" s="1566"/>
      <c r="E103" s="484" t="str">
        <f>FHD_NUM_P_63</f>
        <v/>
      </c>
      <c r="F103" s="1806" t="str">
        <f>FHD_P_63</f>
        <v/>
      </c>
      <c r="G103" s="1803" t="s">
        <v>581</v>
      </c>
      <c r="H103" s="515"/>
      <c r="I103" s="515"/>
      <c r="J103" s="227" t="str">
        <f>FHD_NOTE_P_63</f>
        <v/>
      </c>
      <c r="K103" s="481"/>
      <c r="L103" s="1564"/>
      <c r="M103" s="1564"/>
      <c r="R103" s="1564"/>
      <c r="U103" s="482"/>
      <c r="AA103" s="1560"/>
      <c r="AB103" s="1560"/>
      <c r="AC103" s="1560"/>
      <c r="AD103" s="1560"/>
      <c r="AE103" s="1560"/>
      <c r="AF103" s="1088">
        <v>0</v>
      </c>
    </row>
    <row r="104" spans="1:32" ht="18.75">
      <c r="A104" s="2010"/>
      <c r="C104" s="1564" t="s">
        <v>586</v>
      </c>
      <c r="D104" s="1566"/>
      <c r="E104" s="484" t="str">
        <f>FHD_NUM_P_64</f>
        <v/>
      </c>
      <c r="F104" s="1806" t="str">
        <f>FHD_P_64</f>
        <v/>
      </c>
      <c r="G104" s="1803" t="s">
        <v>581</v>
      </c>
      <c r="H104" s="483"/>
      <c r="I104" s="483"/>
      <c r="J104" s="227" t="str">
        <f>FHD_NOTE_P_64</f>
        <v/>
      </c>
      <c r="K104" s="481"/>
      <c r="L104" s="1564"/>
      <c r="M104" s="1564"/>
      <c r="R104" s="1564"/>
      <c r="U104" s="482"/>
      <c r="AA104" s="1560"/>
      <c r="AB104" s="1560"/>
      <c r="AC104" s="1560"/>
      <c r="AD104" s="1560"/>
      <c r="AE104" s="1560"/>
      <c r="AF104" s="1088">
        <v>0</v>
      </c>
    </row>
    <row r="105" spans="1:32" ht="18.75">
      <c r="A105" s="2010"/>
      <c r="C105" s="1564"/>
      <c r="D105" s="1566"/>
      <c r="E105" s="484" t="str">
        <f>FHD_NUM_P_65</f>
        <v/>
      </c>
      <c r="F105" s="1806" t="str">
        <f>FHD_P_65</f>
        <v/>
      </c>
      <c r="G105" s="1803" t="s">
        <v>581</v>
      </c>
      <c r="H105" s="515"/>
      <c r="I105" s="515"/>
      <c r="J105" s="227" t="str">
        <f>FHD_NOTE_P_65</f>
        <v/>
      </c>
      <c r="K105" s="481"/>
      <c r="L105" s="1564"/>
      <c r="M105" s="1564"/>
      <c r="R105" s="1564"/>
      <c r="U105" s="482"/>
      <c r="AA105" s="1560"/>
      <c r="AB105" s="1560"/>
      <c r="AC105" s="1560"/>
      <c r="AD105" s="1560"/>
      <c r="AE105" s="1560"/>
      <c r="AF105" s="1088">
        <v>0</v>
      </c>
    </row>
    <row r="106" spans="1:32" ht="18.75">
      <c r="A106" s="2010"/>
      <c r="C106" s="1564"/>
      <c r="D106" s="1566"/>
      <c r="E106" s="484" t="str">
        <f>FHD_NUM_P_66</f>
        <v/>
      </c>
      <c r="F106" s="1452" t="str">
        <f>FHD_P_66</f>
        <v/>
      </c>
      <c r="G106" s="1803" t="s">
        <v>581</v>
      </c>
      <c r="H106" s="515"/>
      <c r="I106" s="515"/>
      <c r="J106" s="227" t="str">
        <f>FHD_NOTE_P_66</f>
        <v/>
      </c>
      <c r="K106" s="481"/>
      <c r="L106" s="1564"/>
      <c r="M106" s="1564"/>
      <c r="R106" s="1564"/>
      <c r="U106" s="482"/>
      <c r="AA106" s="1560"/>
      <c r="AB106" s="1560"/>
      <c r="AC106" s="1560"/>
      <c r="AD106" s="1560"/>
      <c r="AE106" s="1560"/>
      <c r="AF106" s="1088">
        <v>0</v>
      </c>
    </row>
    <row r="107" spans="1:32" ht="18.75">
      <c r="A107" s="2010"/>
      <c r="C107" s="1564"/>
      <c r="D107" s="1566"/>
      <c r="E107" s="484" t="str">
        <f>FHD_NUM_P_67</f>
        <v/>
      </c>
      <c r="F107" s="1578" t="str">
        <f>FHD_P_67</f>
        <v/>
      </c>
      <c r="G107" s="1803" t="s">
        <v>581</v>
      </c>
      <c r="H107" s="515"/>
      <c r="I107" s="515"/>
      <c r="J107" s="227" t="str">
        <f>FHD_NOTE_P_67</f>
        <v/>
      </c>
      <c r="K107" s="481"/>
      <c r="L107" s="1564"/>
      <c r="M107" s="1564"/>
      <c r="R107" s="1564"/>
      <c r="U107" s="482"/>
      <c r="AA107" s="1560"/>
      <c r="AB107" s="1560"/>
      <c r="AC107" s="1560"/>
      <c r="AD107" s="1560"/>
      <c r="AE107" s="1560"/>
      <c r="AF107" s="1088">
        <v>0</v>
      </c>
    </row>
    <row r="108" spans="1:32" ht="18.75">
      <c r="A108" s="2010"/>
      <c r="C108" s="1564"/>
      <c r="D108" s="1566"/>
      <c r="E108" s="484" t="str">
        <f>FHD_NUM_P_68</f>
        <v/>
      </c>
      <c r="F108" s="1452" t="str">
        <f>FHD_P_68</f>
        <v/>
      </c>
      <c r="G108" s="1803" t="s">
        <v>581</v>
      </c>
      <c r="H108" s="515"/>
      <c r="I108" s="515"/>
      <c r="J108" s="227" t="str">
        <f>FHD_NOTE_P_68</f>
        <v/>
      </c>
      <c r="K108" s="481"/>
      <c r="L108" s="1564"/>
      <c r="M108" s="1564"/>
      <c r="R108" s="1564"/>
      <c r="U108" s="482"/>
      <c r="AA108" s="1560"/>
      <c r="AB108" s="1560"/>
      <c r="AC108" s="1560"/>
      <c r="AD108" s="1560"/>
      <c r="AE108" s="1560"/>
      <c r="AF108" s="1088">
        <v>0</v>
      </c>
    </row>
    <row r="109" spans="1:32" ht="18.75">
      <c r="A109" s="2010"/>
      <c r="C109" s="1564"/>
      <c r="D109" s="1566"/>
      <c r="E109" s="484" t="str">
        <f>FHD_NUM_P_69</f>
        <v/>
      </c>
      <c r="F109" s="1452" t="str">
        <f>FHD_P_69</f>
        <v/>
      </c>
      <c r="G109" s="1803" t="s">
        <v>581</v>
      </c>
      <c r="H109" s="515"/>
      <c r="I109" s="515"/>
      <c r="J109" s="227" t="str">
        <f>FHD_NOTE_P_69</f>
        <v/>
      </c>
      <c r="K109" s="481"/>
      <c r="L109" s="1564"/>
      <c r="M109" s="1564"/>
      <c r="R109" s="1564"/>
      <c r="U109" s="482"/>
      <c r="AA109" s="1560"/>
      <c r="AB109" s="1560"/>
      <c r="AC109" s="1560"/>
      <c r="AD109" s="1560"/>
      <c r="AE109" s="1560"/>
      <c r="AF109" s="1088">
        <v>0</v>
      </c>
    </row>
    <row r="110" spans="1:32" ht="22.5">
      <c r="A110" s="2010"/>
      <c r="C110" s="1564"/>
      <c r="D110" s="1566"/>
      <c r="E110" s="484" t="str">
        <f>FHD_NUM_P_70</f>
        <v/>
      </c>
      <c r="F110" s="1806" t="str">
        <f>FHD_P_70</f>
        <v/>
      </c>
      <c r="G110" s="1803" t="s">
        <v>587</v>
      </c>
      <c r="H110" s="495"/>
      <c r="I110" s="495"/>
      <c r="J110" s="227" t="str">
        <f>FHD_NOTE_P_70</f>
        <v/>
      </c>
      <c r="K110" s="481"/>
      <c r="L110" s="1564"/>
      <c r="M110" s="1564"/>
      <c r="R110" s="1564"/>
      <c r="U110" s="482"/>
      <c r="AA110" s="1560"/>
      <c r="AB110" s="1560"/>
      <c r="AC110" s="1560"/>
      <c r="AD110" s="1560"/>
      <c r="AE110" s="1560"/>
      <c r="AF110" s="1088">
        <v>0</v>
      </c>
    </row>
    <row r="111" spans="1:32" ht="22.5">
      <c r="A111" s="2010"/>
      <c r="C111" s="1564"/>
      <c r="D111" s="1566"/>
      <c r="E111" s="484" t="str">
        <f>FHD_NUM_P_71</f>
        <v/>
      </c>
      <c r="F111" s="1806" t="str">
        <f>FHD_P_71</f>
        <v/>
      </c>
      <c r="G111" s="1803" t="s">
        <v>587</v>
      </c>
      <c r="H111" s="495"/>
      <c r="I111" s="495"/>
      <c r="J111" s="227" t="str">
        <f>FHD_NOTE_P_71</f>
        <v/>
      </c>
      <c r="K111" s="481"/>
      <c r="L111" s="1564"/>
      <c r="M111" s="1564"/>
      <c r="R111" s="1564"/>
      <c r="U111" s="482"/>
      <c r="AA111" s="1560"/>
      <c r="AB111" s="1560"/>
      <c r="AC111" s="1560"/>
      <c r="AD111" s="1560"/>
      <c r="AE111" s="1560"/>
      <c r="AF111" s="1088">
        <v>0</v>
      </c>
    </row>
    <row r="112" spans="1:32" ht="123.75">
      <c r="D112" s="1566"/>
      <c r="E112" s="484" t="str">
        <f>FHD_NUM_P_72</f>
        <v>12</v>
      </c>
      <c r="F112" s="1806" t="str">
        <f>FHD_P_72</f>
        <v>Среднесписочная численность основного производственного персонала</v>
      </c>
      <c r="G112" s="1802" t="s">
        <v>588</v>
      </c>
      <c r="H112" s="515"/>
      <c r="I112" s="515"/>
      <c r="J112" s="227" t="str">
        <f>FHD_NOTE_P_72</f>
        <v/>
      </c>
      <c r="K112" s="481"/>
      <c r="AF112" s="1559">
        <v>19</v>
      </c>
    </row>
    <row r="113" spans="1:32" ht="18.75">
      <c r="A113" s="920" t="s">
        <v>589</v>
      </c>
      <c r="D113" s="1566"/>
      <c r="E113" s="484" t="str">
        <f>FHD_NUM_P_73</f>
        <v/>
      </c>
      <c r="F113" s="1806" t="str">
        <f>FHD_P_73</f>
        <v/>
      </c>
      <c r="G113" s="901" t="s">
        <v>588</v>
      </c>
      <c r="H113" s="899"/>
      <c r="I113" s="899"/>
      <c r="J113" s="227" t="str">
        <f>FHD_NOTE_P_73</f>
        <v/>
      </c>
      <c r="K113" s="481"/>
      <c r="AF113" s="1559">
        <v>0</v>
      </c>
    </row>
    <row r="114" spans="1:32" ht="90">
      <c r="A114" s="920" t="s">
        <v>590</v>
      </c>
      <c r="D114" s="1566"/>
      <c r="E114" s="484" t="str">
        <f>FHD_NUM_P_74</f>
        <v>13</v>
      </c>
      <c r="F114" s="1806" t="str">
        <f>FHD_P_74</f>
        <v>Удельный расход электрической энергии на подачу воды в сеть</v>
      </c>
      <c r="G114" s="1802" t="s">
        <v>591</v>
      </c>
      <c r="H114" s="515"/>
      <c r="I114" s="515"/>
      <c r="J114" s="227" t="str">
        <f>FHD_NOTE_P_74</f>
        <v/>
      </c>
      <c r="K114" s="481"/>
      <c r="AF114" s="1559">
        <v>0</v>
      </c>
    </row>
    <row r="115" spans="1:32" ht="146.25">
      <c r="A115" s="2012" t="s">
        <v>592</v>
      </c>
      <c r="B115" s="841"/>
      <c r="C115" s="673"/>
      <c r="D115" s="671"/>
      <c r="E115" s="484" t="str">
        <f>FHD_NUM_P_75</f>
        <v>14</v>
      </c>
      <c r="F115" s="1806" t="str">
        <f>FHD_P_75</f>
        <v>Расход воды на собственные нужды, в том числе:</v>
      </c>
      <c r="G115" s="1802" t="s">
        <v>556</v>
      </c>
      <c r="H115" s="495"/>
      <c r="I115" s="495"/>
      <c r="J115" s="227" t="str">
        <f>FHD_NOTE_P_75</f>
        <v>Указывается доля общего расхода воды на собственные нужны от объема отпуска воды потребителям.</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ht="146.25">
      <c r="A116" s="2012"/>
      <c r="B116" s="841"/>
      <c r="C116" s="673"/>
      <c r="D116" s="671"/>
      <c r="E116" s="484" t="str">
        <f>FHD_NUM_P_76</f>
        <v>14.1</v>
      </c>
      <c r="F116" s="1806" t="str">
        <f>FHD_P_76</f>
        <v>Расход воды на хозяйственно-бытовые нужды</v>
      </c>
      <c r="G116" s="1802" t="s">
        <v>556</v>
      </c>
      <c r="H116" s="495"/>
      <c r="I116" s="495"/>
      <c r="J116" s="227" t="str">
        <f>FHD_NOTE_P_76</f>
        <v>Указывается доля расхода воды на хозяйственно-бытовые нужны от объема отпуска воды потребителям.</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ht="258.75">
      <c r="A117" s="2012"/>
      <c r="B117" s="841"/>
      <c r="C117" s="673"/>
      <c r="D117" s="671"/>
      <c r="E117" s="484" t="str">
        <f>FHD_NUM_P_77</f>
        <v>15</v>
      </c>
      <c r="F117" s="1806" t="str">
        <f>FHD_P_77</f>
        <v>Показатель использования производственных объектов (по объему перекачки), в том числе:</v>
      </c>
      <c r="G117" s="1802" t="s">
        <v>556</v>
      </c>
      <c r="H117" s="495"/>
      <c r="I117" s="495"/>
      <c r="J117" s="22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ht="11.25">
      <c r="A118" s="2012"/>
      <c r="D118" s="486"/>
      <c r="E118" s="944" t="str">
        <f>E117&amp;".0"</f>
        <v>15.0</v>
      </c>
      <c r="F118" s="928"/>
      <c r="G118" s="1579"/>
      <c r="H118" s="923"/>
      <c r="I118" s="923"/>
      <c r="J118" s="927"/>
      <c r="AF118" s="1564">
        <v>0</v>
      </c>
    </row>
    <row r="119" spans="1:32" ht="168.75">
      <c r="A119" s="2012"/>
      <c r="B119" s="841"/>
      <c r="C119" s="673"/>
      <c r="D119" s="684"/>
      <c r="E119" s="904"/>
      <c r="F119" s="905" t="s">
        <v>593</v>
      </c>
      <c r="G119" s="685"/>
      <c r="H119" s="686"/>
      <c r="I119" s="686"/>
      <c r="J119" s="934" t="s">
        <v>594</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5">
      <c r="A120" s="2010" t="s">
        <v>595</v>
      </c>
      <c r="D120" s="1566"/>
      <c r="E120" s="484" t="str">
        <f>FHD_NUM_P_78</f>
        <v/>
      </c>
      <c r="F120" s="1806" t="str">
        <f>FHD_P_78</f>
        <v/>
      </c>
      <c r="G120" s="1803" t="s">
        <v>558</v>
      </c>
      <c r="H120" s="515"/>
      <c r="I120" s="515"/>
      <c r="J120" s="227" t="str">
        <f>FHD_NOTE_P_78</f>
        <v/>
      </c>
      <c r="K120" s="481"/>
      <c r="AF120" s="1559">
        <v>0</v>
      </c>
    </row>
    <row r="121" spans="1:32" ht="11.25">
      <c r="A121" s="2010"/>
      <c r="D121" s="486"/>
      <c r="E121" s="944" t="str">
        <f>E120&amp;".0"</f>
        <v>.0</v>
      </c>
      <c r="F121" s="928"/>
      <c r="G121" s="1579"/>
      <c r="H121" s="923"/>
      <c r="I121" s="923"/>
      <c r="J121" s="927"/>
      <c r="AF121" s="1564">
        <v>0</v>
      </c>
    </row>
    <row r="122" spans="1:32" ht="236.25">
      <c r="A122" s="2010"/>
      <c r="D122" s="1561"/>
      <c r="E122" s="508"/>
      <c r="F122" s="1096" t="s">
        <v>584</v>
      </c>
      <c r="G122" s="510"/>
      <c r="H122" s="511"/>
      <c r="I122" s="511"/>
      <c r="J122" s="935" t="s">
        <v>596</v>
      </c>
      <c r="K122" s="481"/>
      <c r="AF122" s="1559">
        <v>0</v>
      </c>
    </row>
    <row r="123" spans="1:32" ht="33.75">
      <c r="A123" s="2010"/>
      <c r="D123" s="1566"/>
      <c r="E123" s="484" t="str">
        <f>FHD_NUM_P_79</f>
        <v/>
      </c>
      <c r="F123" s="1806" t="str">
        <f>FHD_P_79</f>
        <v/>
      </c>
      <c r="G123" s="1804" t="s">
        <v>560</v>
      </c>
      <c r="H123" s="515"/>
      <c r="I123" s="515"/>
      <c r="J123" s="227" t="str">
        <f>FHD_NOTE_P_79</f>
        <v/>
      </c>
      <c r="K123" s="481"/>
      <c r="AF123" s="1559">
        <v>0</v>
      </c>
    </row>
    <row r="124" spans="1:32" ht="11.25">
      <c r="A124" s="2010"/>
      <c r="D124" s="486"/>
      <c r="E124" s="944" t="str">
        <f>E123&amp;".0"</f>
        <v>.0</v>
      </c>
      <c r="F124" s="929"/>
      <c r="G124" s="1579"/>
      <c r="H124" s="923"/>
      <c r="I124" s="923"/>
      <c r="J124" s="927"/>
      <c r="AF124" s="1564">
        <v>0</v>
      </c>
    </row>
    <row r="125" spans="1:32" ht="247.5">
      <c r="A125" s="2010"/>
      <c r="D125" s="1561"/>
      <c r="E125" s="508"/>
      <c r="F125" s="1096" t="s">
        <v>584</v>
      </c>
      <c r="G125" s="510"/>
      <c r="H125" s="511"/>
      <c r="I125" s="511"/>
      <c r="J125" s="935" t="s">
        <v>597</v>
      </c>
      <c r="K125" s="481"/>
      <c r="AF125" s="1559">
        <v>0</v>
      </c>
    </row>
    <row r="126" spans="1:32" ht="33.75">
      <c r="A126" s="2010"/>
      <c r="D126" s="1566"/>
      <c r="E126" s="484" t="str">
        <f>FHD_NUM_P_80</f>
        <v/>
      </c>
      <c r="F126" s="1806" t="str">
        <f>FHD_P_80</f>
        <v/>
      </c>
      <c r="G126" s="1804" t="s">
        <v>598</v>
      </c>
      <c r="H126" s="495"/>
      <c r="I126" s="495"/>
      <c r="J126" s="227" t="str">
        <f>FHD_NOTE_P_80</f>
        <v/>
      </c>
      <c r="K126" s="481"/>
      <c r="AF126" s="1559">
        <v>0</v>
      </c>
    </row>
    <row r="127" spans="1:32" ht="22.5">
      <c r="A127" s="2010"/>
      <c r="D127" s="1566"/>
      <c r="E127" s="484" t="str">
        <f>FHD_NUM_P_81</f>
        <v/>
      </c>
      <c r="F127" s="1806" t="str">
        <f>FHD_P_81</f>
        <v/>
      </c>
      <c r="G127" s="1804" t="s">
        <v>599</v>
      </c>
      <c r="H127" s="495"/>
      <c r="I127" s="495"/>
      <c r="J127" s="227" t="str">
        <f>FHD_NOTE_P_81</f>
        <v/>
      </c>
      <c r="K127" s="481"/>
      <c r="AF127" s="1559">
        <v>0</v>
      </c>
    </row>
    <row r="128" spans="1:32" ht="18.75">
      <c r="A128" s="2010"/>
      <c r="C128" s="1564" t="s">
        <v>586</v>
      </c>
      <c r="D128" s="1566"/>
      <c r="E128" s="484" t="str">
        <f>FHD_NUM_P_82</f>
        <v/>
      </c>
      <c r="F128" s="1806" t="str">
        <f>FHD_P_82</f>
        <v/>
      </c>
      <c r="G128" s="1804" t="s">
        <v>304</v>
      </c>
      <c r="H128" s="339"/>
      <c r="I128" s="339"/>
      <c r="J128" s="227" t="str">
        <f>FHD_NOTE_P_82</f>
        <v/>
      </c>
      <c r="K128" s="481"/>
      <c r="AF128" s="1559">
        <v>0</v>
      </c>
    </row>
    <row r="129" spans="1:32" ht="18.75">
      <c r="A129" s="2010"/>
      <c r="C129" s="1564" t="s">
        <v>586</v>
      </c>
      <c r="D129" s="1566"/>
      <c r="E129" s="484" t="str">
        <f>FHD_NUM_P_83</f>
        <v/>
      </c>
      <c r="F129" s="1452" t="str">
        <f>FHD_P_83</f>
        <v/>
      </c>
      <c r="G129" s="1804" t="s">
        <v>304</v>
      </c>
      <c r="H129" s="339"/>
      <c r="I129" s="339"/>
      <c r="J129" s="227" t="str">
        <f>FHD_NOTE_P_83</f>
        <v/>
      </c>
      <c r="K129" s="481"/>
      <c r="AF129" s="1559">
        <v>0</v>
      </c>
    </row>
    <row r="130" spans="1:32" ht="18.75">
      <c r="A130" s="2010"/>
      <c r="C130" s="1564" t="s">
        <v>586</v>
      </c>
      <c r="D130" s="1566"/>
      <c r="E130" s="484" t="str">
        <f>FHD_NUM_P_84</f>
        <v/>
      </c>
      <c r="F130" s="1452" t="str">
        <f>FHD_P_84</f>
        <v/>
      </c>
      <c r="G130" s="1804" t="s">
        <v>304</v>
      </c>
      <c r="H130" s="339"/>
      <c r="I130" s="339"/>
      <c r="J130" s="227" t="str">
        <f>FHD_NOTE_P_84</f>
        <v/>
      </c>
      <c r="K130" s="481"/>
      <c r="AF130" s="1559">
        <v>0</v>
      </c>
    </row>
    <row r="131" spans="1:32" ht="11.25">
      <c r="D131" s="1566"/>
      <c r="AF131" s="1559">
        <v>11</v>
      </c>
    </row>
    <row r="132" spans="1:32" ht="11.25">
      <c r="D132" s="1566"/>
      <c r="E132" s="274"/>
      <c r="F132" s="307"/>
      <c r="G132" s="307"/>
      <c r="H132" s="307"/>
      <c r="I132" s="1575"/>
      <c r="J132" s="519"/>
      <c r="AF132" s="1559">
        <v>13</v>
      </c>
    </row>
    <row r="133" spans="1:32" ht="11.25">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ht="11.25">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ht="11.25">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ht="11.25">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ht="11.25">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ht="11.25">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ht="11.25">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ht="11.25">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ht="11.25">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ht="11.25">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ht="11.25">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ht="11.25">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ht="11.25">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ht="11.25">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ht="11.25">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ht="11.25">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ht="11.25">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ht="11.25">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ht="11.25">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ht="11.25">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ht="11.25">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ht="11.25">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ht="11.25">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ht="11.25">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ht="11.25">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ht="11.25">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ht="11.25">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ht="11.25">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ht="11.25">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ht="11.25">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ht="11.25">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ht="11.25">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ht="11.25">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ht="11.25">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ht="11.25">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ht="11.25">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ht="11.25">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ht="11.25">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ht="11.25">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ht="11.25">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ht="11.25">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ht="11.25">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ht="11.25">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ht="11.25">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ht="11.25">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ht="11.25">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ht="11.25">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ht="11.25">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ht="11.25">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ht="11.25">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ht="11.25">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ht="11.25">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ht="11.25">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ht="11.25">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ht="11.25">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ht="11.25">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ht="11.25">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ht="11.25">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ht="11.25">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ht="11.25">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ht="11.25">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ht="11.25">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ht="11.25">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25">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ht="11.25">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ht="11.25">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ht="11.25">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ht="11.25">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ht="11.25">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ht="11.25">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25">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ht="11.25">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ht="11.25">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ht="11.25">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ht="11.25">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ht="11.25">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ht="11.25">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ht="11.25">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ht="11.25">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ht="11.25">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ht="11.25">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ht="11.25">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ht="11.25">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ht="11.25">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ht="11.25">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ht="11.25">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ht="11.25">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ht="11.25">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ht="11.25">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ht="11.25">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ht="11.25">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ht="11.25">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ht="11.25">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ht="11.25">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ht="11.25">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ht="11.25">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ht="11.25">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ht="11.25">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ht="11.25">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ht="11.25">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ht="11.25">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ht="11.25">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ht="11.25">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ht="11.25">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ht="11.25">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ht="11.25">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ht="11.25">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ht="11.25">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ht="11.25">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ht="11.25">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ht="11.25">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ht="11.25">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ht="11.25">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ht="11.25">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ht="11.25">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ht="11.25">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ht="11.25">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ht="11.25">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ht="11.25">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ht="11.25">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ht="11.25">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ht="11.25">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ht="11.25">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ht="11.25">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ht="11.25">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ht="11.25">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ht="11.25">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ht="11.25">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ht="11.25">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ht="11.25">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ht="11.25">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ht="11.25">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ht="11.25">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ht="11.25">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ht="11.25">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ht="11.25">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ht="11.25">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ht="11.25">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ht="11.25">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ht="11.25">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ht="11.25">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ht="11.25">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ht="11.25">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ht="11.25">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ht="11.25">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ht="11.25">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ht="11.25">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ht="11.25">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ht="11.25">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ht="11.25">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ht="11.25">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ht="11.25">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ht="11.25">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ht="11.25">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ht="11.25">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ht="11.25">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25">
      <c r="AF289" s="1559">
        <v>11</v>
      </c>
    </row>
    <row r="290" spans="1:32" ht="11.25">
      <c r="AF290" s="1559">
        <v>11</v>
      </c>
    </row>
    <row r="291" spans="1:32" ht="11.25">
      <c r="AF291" s="1559">
        <v>11</v>
      </c>
    </row>
    <row r="292" spans="1:32" ht="11.25">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25">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25">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25">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25">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25">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25">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25">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25">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25">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25">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8">
      <c r="A303" s="918" t="s">
        <v>81</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60" hidden="1" customWidth="1"/>
    <col min="3" max="3" width="3" style="1563" customWidth="1"/>
    <col min="4" max="4" width="1.85546875" style="1563" hidden="1" customWidth="1"/>
    <col min="5" max="6" width="7" style="1563" customWidth="1"/>
    <col min="7" max="7" width="29" style="1563" customWidth="1"/>
    <col min="8" max="8" width="3.7109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406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175"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75"/>
      <c r="G5" s="2175"/>
      <c r="H5" s="2175"/>
      <c r="I5" s="2175"/>
      <c r="J5" s="2175"/>
      <c r="K5" s="2175"/>
      <c r="L5" s="551"/>
      <c r="M5" s="551"/>
      <c r="CF5" s="443">
        <v>28</v>
      </c>
    </row>
    <row r="6" spans="1:84" s="1563" customFormat="1" ht="16.899999999999999" customHeight="1">
      <c r="A6" s="548"/>
      <c r="B6" s="695"/>
      <c r="C6" s="447"/>
      <c r="D6" s="989"/>
      <c r="E6" s="2147" t="str">
        <f>IF(org=0,"Не определено",org)</f>
        <v>ООО "Профит"</v>
      </c>
      <c r="F6" s="2147"/>
      <c r="G6" s="2147"/>
      <c r="H6" s="2147"/>
      <c r="I6" s="2147"/>
      <c r="J6" s="2147"/>
      <c r="K6" s="2147"/>
      <c r="L6" s="551"/>
      <c r="M6" s="551"/>
      <c r="U6" s="549"/>
      <c r="V6" s="549"/>
      <c r="W6" s="550"/>
      <c r="X6" s="695"/>
      <c r="Y6" s="695"/>
      <c r="Z6" s="695"/>
      <c r="AA6" s="695"/>
      <c r="CF6" s="694">
        <v>16</v>
      </c>
    </row>
    <row r="7" spans="1:84" ht="11.45" customHeight="1">
      <c r="C7" s="447"/>
      <c r="D7" s="447"/>
      <c r="E7" s="447"/>
      <c r="F7" s="447"/>
      <c r="G7" s="460"/>
      <c r="H7" s="460"/>
      <c r="I7" s="460"/>
      <c r="J7" s="460"/>
      <c r="K7" s="552"/>
      <c r="L7" s="552"/>
      <c r="M7" s="552"/>
      <c r="R7" s="690"/>
      <c r="CF7" s="443">
        <v>11</v>
      </c>
    </row>
    <row r="8" spans="1:84" s="1569" customFormat="1" ht="4.1500000000000004"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899999999999999" customHeight="1">
      <c r="D9" s="227"/>
      <c r="E9" s="2048" t="s">
        <v>298</v>
      </c>
      <c r="F9" s="2053"/>
      <c r="G9" s="2053"/>
      <c r="H9" s="2053"/>
      <c r="I9" s="2053"/>
      <c r="J9" s="2053"/>
      <c r="K9" s="2053"/>
      <c r="L9" s="2053"/>
      <c r="M9" s="2053"/>
      <c r="N9" s="2053"/>
      <c r="O9" s="2053"/>
      <c r="P9" s="2053"/>
      <c r="Q9" s="2053"/>
      <c r="R9" s="2047"/>
      <c r="S9" s="2066" t="s">
        <v>299</v>
      </c>
      <c r="T9" s="272"/>
      <c r="CF9" s="443">
        <v>19</v>
      </c>
    </row>
    <row r="10" spans="1:84" ht="48.2" customHeight="1">
      <c r="D10" s="489" t="s">
        <v>87</v>
      </c>
      <c r="E10" s="2066" t="s">
        <v>87</v>
      </c>
      <c r="F10" s="2066"/>
      <c r="G10" s="459" t="s">
        <v>300</v>
      </c>
      <c r="H10" s="2066" t="s">
        <v>87</v>
      </c>
      <c r="I10" s="2066"/>
      <c r="J10" s="459" t="s">
        <v>600</v>
      </c>
      <c r="K10" s="459" t="s">
        <v>601</v>
      </c>
      <c r="L10" s="2066" t="s">
        <v>87</v>
      </c>
      <c r="M10" s="2066"/>
      <c r="N10" s="459" t="s">
        <v>602</v>
      </c>
      <c r="O10" s="459" t="s">
        <v>603</v>
      </c>
      <c r="P10" s="459" t="s">
        <v>604</v>
      </c>
      <c r="Q10" s="459" t="s">
        <v>605</v>
      </c>
      <c r="R10" s="459" t="s">
        <v>606</v>
      </c>
      <c r="S10" s="2066"/>
      <c r="T10" s="272"/>
      <c r="CF10" s="443">
        <v>46</v>
      </c>
    </row>
    <row r="11" spans="1:84" s="1570" customFormat="1" ht="15" hidden="1" customHeight="1">
      <c r="A11" s="983"/>
      <c r="D11" s="956" t="s">
        <v>108</v>
      </c>
      <c r="E11" s="956"/>
      <c r="F11" s="956" t="s">
        <v>109</v>
      </c>
      <c r="G11" s="956" t="s">
        <v>89</v>
      </c>
      <c r="H11" s="956"/>
      <c r="I11" s="956" t="s">
        <v>90</v>
      </c>
      <c r="J11" s="956" t="s">
        <v>110</v>
      </c>
      <c r="K11" s="956" t="s">
        <v>91</v>
      </c>
      <c r="L11" s="956"/>
      <c r="M11" s="956" t="s">
        <v>92</v>
      </c>
      <c r="N11" s="956" t="s">
        <v>111</v>
      </c>
      <c r="O11" s="956" t="s">
        <v>148</v>
      </c>
      <c r="P11" s="956" t="s">
        <v>149</v>
      </c>
      <c r="Q11" s="956" t="s">
        <v>150</v>
      </c>
      <c r="R11" s="956" t="s">
        <v>151</v>
      </c>
      <c r="S11" s="956" t="s">
        <v>152</v>
      </c>
      <c r="U11" s="549"/>
      <c r="V11" s="549"/>
      <c r="W11" s="549"/>
      <c r="CF11" s="449">
        <v>0</v>
      </c>
    </row>
    <row r="12" spans="1:84" s="1563" customFormat="1" ht="1.1499999999999999" customHeight="1">
      <c r="A12" s="553"/>
      <c r="B12" s="300"/>
      <c r="D12" s="486"/>
      <c r="E12" s="284"/>
      <c r="F12" s="284"/>
      <c r="Q12" s="554"/>
      <c r="R12" s="555"/>
      <c r="T12" s="556"/>
      <c r="U12" s="557"/>
      <c r="V12" s="557"/>
      <c r="W12" s="558"/>
      <c r="X12" s="300"/>
      <c r="Y12" s="300"/>
      <c r="Z12" s="300"/>
      <c r="AA12" s="300"/>
      <c r="CF12" s="447">
        <v>1</v>
      </c>
    </row>
    <row r="13" spans="1:84" s="1569" customFormat="1" ht="1.1499999999999999" customHeight="1">
      <c r="A13" s="559"/>
      <c r="B13" s="504"/>
      <c r="D13" s="486" t="s">
        <v>374</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116</v>
      </c>
      <c r="B14" s="562"/>
      <c r="C14" s="562"/>
      <c r="D14" s="2279" t="s">
        <v>108</v>
      </c>
      <c r="E14" s="2286" t="s">
        <v>104</v>
      </c>
      <c r="F14" s="2287"/>
      <c r="G14" s="2288"/>
      <c r="H14" s="2282" t="str">
        <f>IF(A14="","",INDEX(DIFFERENTIATION_UNMERGE_VD,MATCH(A14,DIFFERENTIATION_ID_DIFF,0)))</f>
        <v>Транспортировка. Питьевая вода</v>
      </c>
      <c r="I14" s="2282"/>
      <c r="J14" s="2282"/>
      <c r="K14" s="2282"/>
      <c r="L14" s="2282"/>
      <c r="M14" s="2282"/>
      <c r="N14" s="2282"/>
      <c r="O14" s="2282"/>
      <c r="P14" s="2282"/>
      <c r="Q14" s="2282"/>
      <c r="R14" s="2282"/>
      <c r="S14" s="657"/>
      <c r="T14" s="654"/>
      <c r="U14" s="563"/>
      <c r="V14" s="563"/>
      <c r="W14" s="564"/>
      <c r="X14" s="564"/>
      <c r="Y14" s="564"/>
      <c r="Z14" s="564"/>
      <c r="AA14" s="565"/>
      <c r="AB14" s="566"/>
      <c r="AC14" s="2285"/>
      <c r="AD14" s="567"/>
      <c r="AE14" s="568" t="s">
        <v>22</v>
      </c>
      <c r="AF14" s="568"/>
      <c r="AG14" s="569" t="s">
        <v>607</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280"/>
      <c r="E15" s="2286" t="s">
        <v>562</v>
      </c>
      <c r="F15" s="2287"/>
      <c r="G15" s="2288"/>
      <c r="H15" s="2282" t="str">
        <f>IF(A14="","",INDEX(DIFFERENTIATION_UNMERGE_AREA,MATCH(A14,DIFFERENTIATION_ID_DIFF,0)))</f>
        <v>Территория 1</v>
      </c>
      <c r="I15" s="2282"/>
      <c r="J15" s="2282"/>
      <c r="K15" s="2282"/>
      <c r="L15" s="2282"/>
      <c r="M15" s="2282"/>
      <c r="N15" s="2282"/>
      <c r="O15" s="2282"/>
      <c r="P15" s="2282"/>
      <c r="Q15" s="2282"/>
      <c r="R15" s="2282"/>
      <c r="S15" s="657"/>
      <c r="T15" s="654"/>
      <c r="U15" s="563"/>
      <c r="V15" s="563"/>
      <c r="W15" s="564"/>
      <c r="X15" s="564"/>
      <c r="Y15" s="564"/>
      <c r="Z15" s="564"/>
      <c r="AA15" s="565"/>
      <c r="AB15" s="566"/>
      <c r="AC15" s="2285"/>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280"/>
      <c r="E16" s="2286" t="s">
        <v>563</v>
      </c>
      <c r="F16" s="2287"/>
      <c r="G16" s="2288"/>
      <c r="H16" s="2282" t="str">
        <f>IF(A14="","",INDEX(DIFFERENTIATION_UNMERGE_SYSTEM,MATCH(A14,DIFFERENTIATION_ID_DIFF,0)))</f>
        <v>без дифференциации</v>
      </c>
      <c r="I16" s="2282"/>
      <c r="J16" s="2282"/>
      <c r="K16" s="2282"/>
      <c r="L16" s="2282"/>
      <c r="M16" s="2282"/>
      <c r="N16" s="2282"/>
      <c r="O16" s="2282"/>
      <c r="P16" s="2282"/>
      <c r="Q16" s="2282"/>
      <c r="R16" s="2282"/>
      <c r="S16" s="657"/>
      <c r="T16" s="654"/>
      <c r="U16" s="563"/>
      <c r="V16" s="563"/>
      <c r="W16" s="564"/>
      <c r="X16" s="564"/>
      <c r="Y16" s="564"/>
      <c r="Z16" s="564"/>
      <c r="AA16" s="565"/>
      <c r="AB16" s="566"/>
      <c r="AC16" s="2285"/>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280"/>
      <c r="E17" s="2284" t="s">
        <v>608</v>
      </c>
      <c r="F17" s="2284"/>
      <c r="G17" s="2284"/>
      <c r="H17" s="2284"/>
      <c r="I17" s="2284"/>
      <c r="J17" s="2284"/>
      <c r="K17" s="2284"/>
      <c r="L17" s="2284"/>
      <c r="M17" s="2284"/>
      <c r="N17" s="2284"/>
      <c r="O17" s="2284"/>
      <c r="P17" s="2284"/>
      <c r="Q17" s="496">
        <f>SUMIF(T18:T19,"i",Q18:Q19)</f>
        <v>0</v>
      </c>
      <c r="R17" s="948"/>
      <c r="S17" s="828" t="s">
        <v>609</v>
      </c>
      <c r="T17" s="655" t="s">
        <v>610</v>
      </c>
      <c r="U17" s="2198">
        <v>1</v>
      </c>
      <c r="V17" s="2198" t="str">
        <f>INDEX(B_FHD_FLAG_INDEX_1,1,MATCH(A14,B_FHD_FLAG_DIFFERENTIATION,0))</f>
        <v>отсутствует</v>
      </c>
      <c r="W17" s="355"/>
      <c r="X17" s="355"/>
      <c r="Y17" s="355"/>
      <c r="Z17" s="355"/>
      <c r="AA17" s="449"/>
      <c r="AB17" s="355"/>
      <c r="AC17" s="2285"/>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280"/>
      <c r="E18" s="573"/>
      <c r="F18" s="573">
        <v>0</v>
      </c>
      <c r="G18" s="573"/>
      <c r="H18" s="573"/>
      <c r="I18" s="573"/>
      <c r="J18" s="573"/>
      <c r="K18" s="573"/>
      <c r="L18" s="573"/>
      <c r="M18" s="573"/>
      <c r="N18" s="573"/>
      <c r="O18" s="573"/>
      <c r="P18" s="573"/>
      <c r="Q18" s="573"/>
      <c r="R18" s="573"/>
      <c r="S18" s="574"/>
      <c r="T18" s="656"/>
      <c r="U18" s="2198"/>
      <c r="V18" s="2198"/>
      <c r="W18" s="449"/>
      <c r="X18" s="449"/>
      <c r="Y18" s="449"/>
      <c r="Z18" s="449"/>
      <c r="AA18" s="449"/>
      <c r="AB18" s="355"/>
      <c r="AC18" s="2285"/>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280"/>
      <c r="E19" s="587" t="s">
        <v>22</v>
      </c>
      <c r="F19" s="588" t="s">
        <v>22</v>
      </c>
      <c r="G19" s="588" t="s">
        <v>22</v>
      </c>
      <c r="H19" s="589" t="s">
        <v>22</v>
      </c>
      <c r="I19" s="589"/>
      <c r="J19" s="589"/>
      <c r="K19" s="589"/>
      <c r="L19" s="589"/>
      <c r="M19" s="589"/>
      <c r="N19" s="589"/>
      <c r="O19" s="589"/>
      <c r="P19" s="589"/>
      <c r="Q19" s="589"/>
      <c r="R19" s="590"/>
      <c r="S19" s="951"/>
      <c r="T19" s="656"/>
      <c r="U19" s="2198"/>
      <c r="V19" s="2198"/>
      <c r="W19" s="355"/>
      <c r="X19" s="355"/>
      <c r="Y19" s="355"/>
      <c r="Z19" s="355"/>
      <c r="AA19" s="449"/>
      <c r="AB19" s="355"/>
      <c r="AC19" s="2285"/>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280"/>
      <c r="E20" s="2284" t="s">
        <v>611</v>
      </c>
      <c r="F20" s="2284"/>
      <c r="G20" s="2284"/>
      <c r="H20" s="2284"/>
      <c r="I20" s="2284"/>
      <c r="J20" s="2284"/>
      <c r="K20" s="2284"/>
      <c r="L20" s="2284"/>
      <c r="M20" s="2284"/>
      <c r="N20" s="2284"/>
      <c r="O20" s="2284"/>
      <c r="P20" s="2284"/>
      <c r="Q20" s="496">
        <f>SUMIF(T21:T22,"i",Q21:Q22)</f>
        <v>0</v>
      </c>
      <c r="R20" s="948"/>
      <c r="S20" s="647" t="s">
        <v>612</v>
      </c>
      <c r="T20" s="655" t="s">
        <v>610</v>
      </c>
      <c r="U20" s="2198">
        <v>2</v>
      </c>
      <c r="V20" s="2198"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280"/>
      <c r="E21" s="573"/>
      <c r="F21" s="573">
        <v>0</v>
      </c>
      <c r="G21" s="573"/>
      <c r="H21" s="573"/>
      <c r="I21" s="573"/>
      <c r="J21" s="573"/>
      <c r="K21" s="573"/>
      <c r="L21" s="573"/>
      <c r="M21" s="573"/>
      <c r="N21" s="573"/>
      <c r="O21" s="573"/>
      <c r="P21" s="573"/>
      <c r="Q21" s="573"/>
      <c r="R21" s="573"/>
      <c r="S21" s="574"/>
      <c r="T21" s="656"/>
      <c r="U21" s="2198"/>
      <c r="V21" s="2198"/>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281"/>
      <c r="E22" s="587" t="s">
        <v>22</v>
      </c>
      <c r="F22" s="588" t="s">
        <v>22</v>
      </c>
      <c r="G22" s="588" t="s">
        <v>22</v>
      </c>
      <c r="H22" s="589" t="s">
        <v>22</v>
      </c>
      <c r="I22" s="589"/>
      <c r="J22" s="589"/>
      <c r="K22" s="589"/>
      <c r="L22" s="589"/>
      <c r="M22" s="589"/>
      <c r="N22" s="589"/>
      <c r="O22" s="589"/>
      <c r="P22" s="589"/>
      <c r="Q22" s="589"/>
      <c r="R22" s="590"/>
      <c r="S22" s="951"/>
      <c r="T22" s="656"/>
      <c r="U22" s="2198"/>
      <c r="V22" s="2198"/>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899999999999999" customHeight="1">
      <c r="D23" s="978"/>
      <c r="E23" s="978"/>
      <c r="F23" s="978"/>
      <c r="G23" s="978"/>
      <c r="H23" s="978"/>
      <c r="I23" s="978"/>
      <c r="J23" s="978"/>
      <c r="K23" s="978"/>
      <c r="L23" s="978"/>
      <c r="M23" s="978"/>
      <c r="N23" s="978"/>
      <c r="O23" s="978"/>
      <c r="P23" s="978"/>
      <c r="Q23" s="978"/>
      <c r="R23" s="978"/>
      <c r="S23" s="978"/>
      <c r="T23" s="272"/>
      <c r="CF23" s="443">
        <v>19</v>
      </c>
    </row>
    <row r="24" spans="1:84" ht="11.45" customHeight="1">
      <c r="D24" s="447"/>
      <c r="CF24" s="443">
        <v>11</v>
      </c>
    </row>
    <row r="25" spans="1:84" ht="11.45" customHeight="1">
      <c r="D25" s="592"/>
      <c r="E25" s="592"/>
      <c r="F25" s="592"/>
      <c r="G25" s="593"/>
      <c r="CF25" s="443">
        <v>11</v>
      </c>
    </row>
    <row r="26" spans="1:84" ht="11.45" customHeight="1">
      <c r="CF26" s="443">
        <v>11</v>
      </c>
    </row>
    <row r="27" spans="1:84" ht="11.45" customHeight="1">
      <c r="D27" s="594"/>
      <c r="E27" s="2283"/>
      <c r="F27" s="2283"/>
      <c r="G27" s="2283"/>
      <c r="H27" s="2283"/>
      <c r="I27" s="2283"/>
      <c r="J27" s="2283"/>
      <c r="K27" s="2283"/>
      <c r="L27" s="2283"/>
      <c r="M27" s="2283"/>
      <c r="N27" s="2283"/>
      <c r="O27" s="2283"/>
      <c r="P27" s="2283"/>
      <c r="Q27" s="2283"/>
      <c r="R27" s="2283"/>
      <c r="CF27" s="443">
        <v>11</v>
      </c>
    </row>
    <row r="28" spans="1:84" ht="11.45" customHeight="1">
      <c r="F28" s="694"/>
      <c r="G28" s="694"/>
      <c r="CF28" s="443">
        <v>11</v>
      </c>
    </row>
    <row r="29" spans="1:84" ht="11.25" hidden="1" customHeight="1">
      <c r="A29" s="548" t="s">
        <v>81</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8" hidden="1" customWidth="1"/>
    <col min="6" max="6" width="16.85546875" style="1294" hidden="1" customWidth="1"/>
    <col min="7" max="7" width="5.5703125" style="1570" hidden="1" customWidth="1"/>
    <col min="8" max="8" width="3" style="1563" customWidth="1"/>
    <col min="9" max="9" width="7" style="1563" customWidth="1"/>
    <col min="10" max="10" width="56" style="1563" customWidth="1"/>
    <col min="11" max="11" width="10" style="1563" customWidth="1"/>
    <col min="12" max="12" width="40.5703125" style="1563" hidden="1" customWidth="1"/>
    <col min="13" max="13" width="40.7109375" style="1563" customWidth="1"/>
    <col min="14" max="14" width="9.71093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4257812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613</v>
      </c>
      <c r="C2" s="1976" t="s">
        <v>614</v>
      </c>
      <c r="D2" s="1975" t="s">
        <v>615</v>
      </c>
      <c r="E2" s="1979" t="e">
        <f>RIGHT(I2,LEN(I2)-SEARCH("#",SUBSTITUTE(I2,".","#",LEN(I2)-LEN(SUBSTITUTE(I2,".","")))))</f>
        <v>#VALUE!</v>
      </c>
      <c r="F2" s="1981">
        <f>J2</f>
        <v>0</v>
      </c>
      <c r="G2" s="1564"/>
      <c r="H2" s="1982"/>
      <c r="I2" s="1972"/>
      <c r="J2" s="478"/>
      <c r="K2" s="1942" t="s">
        <v>554</v>
      </c>
      <c r="L2" s="689"/>
      <c r="M2" s="689"/>
      <c r="N2" s="481"/>
      <c r="O2" s="1453" t="s">
        <v>555</v>
      </c>
      <c r="P2" s="481"/>
      <c r="Q2" s="1564"/>
      <c r="R2" s="1564"/>
      <c r="W2" s="1564"/>
      <c r="Z2" s="482"/>
      <c r="AF2" s="1560"/>
      <c r="AG2" s="1560"/>
      <c r="AH2" s="1560"/>
      <c r="AI2" s="1560"/>
      <c r="AJ2" s="1560"/>
      <c r="AK2" s="1294">
        <v>0</v>
      </c>
    </row>
    <row r="3" spans="1:37" ht="11.25" hidden="1" customHeight="1">
      <c r="E3" s="1974" t="s">
        <v>616</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45" customHeight="1">
      <c r="AK5" s="1559">
        <v>11</v>
      </c>
    </row>
    <row r="6" spans="1:37" ht="57.75" customHeight="1">
      <c r="I6" s="2124" t="s">
        <v>617</v>
      </c>
      <c r="J6" s="2124"/>
      <c r="K6" s="2124"/>
      <c r="L6" s="2124"/>
      <c r="M6" s="2124"/>
      <c r="O6" s="494"/>
      <c r="AK6" s="1559">
        <v>55</v>
      </c>
    </row>
    <row r="7" spans="1:37" ht="25.15" customHeight="1">
      <c r="I7" s="2147" t="str">
        <f>IF(org=0,"Не определено",org)</f>
        <v>ООО "Профит"</v>
      </c>
      <c r="J7" s="2147"/>
      <c r="K7" s="2147"/>
      <c r="L7" s="2147"/>
      <c r="M7" s="2147"/>
      <c r="AK7" s="1559">
        <v>24</v>
      </c>
    </row>
    <row r="8" spans="1:37" ht="11.45" customHeight="1">
      <c r="I8" s="1063"/>
      <c r="J8" s="1063"/>
      <c r="K8" s="1063"/>
      <c r="L8" s="1063"/>
      <c r="M8" s="1063"/>
      <c r="AK8" s="1559">
        <v>11</v>
      </c>
    </row>
    <row r="9" spans="1:37" s="1570" customFormat="1" ht="30" hidden="1" customHeight="1">
      <c r="A9" s="1095"/>
      <c r="B9" s="1095"/>
      <c r="C9" s="1095"/>
      <c r="E9" s="1095"/>
      <c r="L9" s="820"/>
      <c r="M9" s="820" t="s">
        <v>116</v>
      </c>
      <c r="AK9" s="1564">
        <v>1</v>
      </c>
    </row>
    <row r="10" spans="1:37" ht="11.45" customHeight="1">
      <c r="E10" s="1973" t="s">
        <v>618</v>
      </c>
      <c r="I10" s="649"/>
      <c r="J10" s="2289" t="s">
        <v>104</v>
      </c>
      <c r="K10" s="2290"/>
      <c r="L10" s="1952" t="str">
        <f>IF(L9="","",INDEX(DIFFERENTIATION_UNMERGE_VD,MATCH(L9,DIFFERENTIATION_ID_DIFF,0)))</f>
        <v/>
      </c>
      <c r="M10" s="1952" t="str">
        <f>IF(M9="","",INDEX(DIFFERENTIATION_UNMERGE_VD,MATCH(M9,DIFFERENTIATION_ID_DIFF,0)))</f>
        <v>Транспортировка. Питьевая вода</v>
      </c>
      <c r="O10" s="2066" t="s">
        <v>299</v>
      </c>
      <c r="AK10" s="1559">
        <v>11</v>
      </c>
    </row>
    <row r="11" spans="1:37" ht="11.45" customHeight="1">
      <c r="E11" s="1973" t="s">
        <v>619</v>
      </c>
      <c r="I11" s="649"/>
      <c r="J11" s="2289" t="s">
        <v>562</v>
      </c>
      <c r="K11" s="2290"/>
      <c r="L11" s="1952" t="str">
        <f>IF(L9="","",INDEX(DIFFERENTIATION_UNMERGE_AREA,MATCH(L9,DIFFERENTIATION_ID_DIFF,0)))</f>
        <v/>
      </c>
      <c r="M11" s="1952" t="str">
        <f>IF(M9="","",INDEX(DIFFERENTIATION_UNMERGE_AREA,MATCH(M9,DIFFERENTIATION_ID_DIFF,0)))</f>
        <v>Территория 1</v>
      </c>
      <c r="O11" s="2066"/>
      <c r="AK11" s="1559">
        <v>11</v>
      </c>
    </row>
    <row r="12" spans="1:37" ht="11.45" customHeight="1">
      <c r="E12" s="1973" t="s">
        <v>620</v>
      </c>
      <c r="I12" s="1590"/>
      <c r="J12" s="2289" t="s">
        <v>563</v>
      </c>
      <c r="K12" s="2290"/>
      <c r="L12" s="1952" t="str">
        <f>IF(L9="","",INDEX(DIFFERENTIATION_UNMERGE_SYSTEM,MATCH(L9,DIFFERENTIATION_ID_DIFF,0)))</f>
        <v/>
      </c>
      <c r="M12" s="1952" t="str">
        <f>IF(M9="","",INDEX(DIFFERENTIATION_UNMERGE_SYSTEM,MATCH(M9,DIFFERENTIATION_ID_DIFF,0)))</f>
        <v>без дифференциации</v>
      </c>
      <c r="O12" s="2066"/>
      <c r="AK12" s="1559">
        <v>11</v>
      </c>
    </row>
    <row r="13" spans="1:37" ht="11.45" customHeight="1">
      <c r="E13" s="1973" t="s">
        <v>621</v>
      </c>
      <c r="F13" s="1973" t="s">
        <v>622</v>
      </c>
      <c r="I13" s="2291" t="s">
        <v>298</v>
      </c>
      <c r="J13" s="2292"/>
      <c r="K13" s="2292"/>
      <c r="L13" s="1950"/>
      <c r="M13" s="1990"/>
      <c r="O13" s="2066"/>
      <c r="AK13" s="1559">
        <v>11</v>
      </c>
    </row>
    <row r="14" spans="1:37" ht="24" customHeight="1">
      <c r="I14" s="1943" t="s">
        <v>87</v>
      </c>
      <c r="J14" s="1943" t="s">
        <v>300</v>
      </c>
      <c r="K14" s="1943" t="s">
        <v>564</v>
      </c>
      <c r="L14" s="1983" t="s">
        <v>301</v>
      </c>
      <c r="M14" s="1984" t="s">
        <v>301</v>
      </c>
      <c r="O14" s="2066"/>
      <c r="AK14" s="1559">
        <v>23</v>
      </c>
    </row>
    <row r="15" spans="1:37" ht="24" customHeight="1">
      <c r="A15" s="1977"/>
      <c r="B15" s="1976" t="s">
        <v>623</v>
      </c>
      <c r="C15" s="1976" t="s">
        <v>624</v>
      </c>
      <c r="D15" s="1975" t="s">
        <v>625</v>
      </c>
      <c r="E15" s="1979" t="s">
        <v>626</v>
      </c>
      <c r="F15" s="1979" t="s">
        <v>626</v>
      </c>
      <c r="G15" s="1564" t="s">
        <v>586</v>
      </c>
      <c r="H15" s="1944"/>
      <c r="I15" s="1558">
        <v>1</v>
      </c>
      <c r="J15" s="1945" t="s">
        <v>627</v>
      </c>
      <c r="K15" s="1943" t="s">
        <v>304</v>
      </c>
      <c r="L15" s="600"/>
      <c r="M15" s="750"/>
      <c r="N15" s="481" t="s">
        <v>628</v>
      </c>
      <c r="O15" s="1453" t="s">
        <v>629</v>
      </c>
      <c r="P15" s="481" t="s">
        <v>628</v>
      </c>
      <c r="AK15" s="1559">
        <v>23</v>
      </c>
    </row>
    <row r="16" spans="1:37" ht="35.65" customHeight="1">
      <c r="A16" s="1977"/>
      <c r="B16" s="1976" t="s">
        <v>630</v>
      </c>
      <c r="C16" s="1976" t="s">
        <v>631</v>
      </c>
      <c r="D16" s="1975" t="s">
        <v>615</v>
      </c>
      <c r="E16" s="1979" t="s">
        <v>626</v>
      </c>
      <c r="F16" s="1979" t="s">
        <v>626</v>
      </c>
      <c r="H16" s="1944"/>
      <c r="I16" s="1557">
        <v>2</v>
      </c>
      <c r="J16" s="1986" t="s">
        <v>632</v>
      </c>
      <c r="K16" s="1985" t="s">
        <v>554</v>
      </c>
      <c r="L16" s="1991"/>
      <c r="M16" s="1604"/>
      <c r="N16" s="481" t="s">
        <v>628</v>
      </c>
      <c r="O16" s="1453" t="s">
        <v>633</v>
      </c>
      <c r="P16" s="481" t="s">
        <v>628</v>
      </c>
      <c r="AK16" s="1559">
        <v>34</v>
      </c>
    </row>
    <row r="17" spans="1:37" s="1570" customFormat="1" ht="17.25" hidden="1" customHeight="1">
      <c r="A17" s="1095"/>
      <c r="B17" s="1095"/>
      <c r="C17" s="1095"/>
      <c r="D17" s="1095"/>
      <c r="E17" s="1095"/>
      <c r="H17" s="1252"/>
      <c r="I17" s="944" t="s">
        <v>634</v>
      </c>
      <c r="J17" s="922"/>
      <c r="K17" s="944"/>
      <c r="L17" s="923"/>
      <c r="M17" s="923"/>
      <c r="O17" s="1313"/>
      <c r="AK17" s="1564">
        <v>1</v>
      </c>
    </row>
    <row r="18" spans="1:37" s="1294" customFormat="1" ht="24" customHeight="1">
      <c r="A18" s="918"/>
      <c r="B18" s="918"/>
      <c r="C18" s="918"/>
      <c r="D18" s="918"/>
      <c r="E18" s="918"/>
      <c r="G18" s="1564"/>
      <c r="H18" s="1561"/>
      <c r="I18" s="508"/>
      <c r="J18" s="509" t="s">
        <v>584</v>
      </c>
      <c r="K18" s="510"/>
      <c r="L18" s="1993"/>
      <c r="M18" s="511"/>
      <c r="N18" s="481"/>
      <c r="O18" s="1453" t="s">
        <v>585</v>
      </c>
      <c r="P18" s="481"/>
      <c r="Q18" s="1564"/>
      <c r="R18" s="1564"/>
      <c r="W18" s="1564"/>
      <c r="Z18" s="482"/>
      <c r="AF18" s="1560"/>
      <c r="AG18" s="1560"/>
      <c r="AH18" s="1560"/>
      <c r="AI18" s="1560"/>
      <c r="AJ18" s="1560"/>
      <c r="AK18" s="1294">
        <v>23</v>
      </c>
    </row>
    <row r="19" spans="1:37" ht="19.899999999999999" customHeight="1">
      <c r="A19" s="1977"/>
      <c r="B19" s="1976" t="s">
        <v>635</v>
      </c>
      <c r="C19" s="1976" t="s">
        <v>636</v>
      </c>
      <c r="D19" s="1975" t="s">
        <v>615</v>
      </c>
      <c r="E19" s="1979" t="s">
        <v>626</v>
      </c>
      <c r="F19" s="1979" t="s">
        <v>626</v>
      </c>
      <c r="H19" s="1944"/>
      <c r="I19" s="1592">
        <v>3</v>
      </c>
      <c r="J19" s="1945" t="s">
        <v>636</v>
      </c>
      <c r="K19" s="1941" t="s">
        <v>554</v>
      </c>
      <c r="L19" s="665"/>
      <c r="M19" s="495"/>
      <c r="N19" s="481"/>
      <c r="O19" s="1453" t="s">
        <v>637</v>
      </c>
      <c r="P19" s="481"/>
      <c r="AK19" s="1559">
        <v>19</v>
      </c>
    </row>
    <row r="20" spans="1:37" ht="77.650000000000006" customHeight="1">
      <c r="A20" s="1977"/>
      <c r="B20" s="1976" t="s">
        <v>638</v>
      </c>
      <c r="C20" s="1976" t="s">
        <v>639</v>
      </c>
      <c r="D20" s="1975" t="s">
        <v>615</v>
      </c>
      <c r="E20" s="1979" t="s">
        <v>626</v>
      </c>
      <c r="F20" s="1979" t="s">
        <v>626</v>
      </c>
      <c r="H20" s="1944"/>
      <c r="I20" s="1592">
        <v>4</v>
      </c>
      <c r="J20" s="1945" t="s">
        <v>640</v>
      </c>
      <c r="K20" s="1941" t="s">
        <v>581</v>
      </c>
      <c r="L20" s="665"/>
      <c r="M20" s="495"/>
      <c r="N20" s="481"/>
      <c r="O20" s="1453"/>
      <c r="P20" s="481"/>
      <c r="AK20" s="1559">
        <v>74</v>
      </c>
    </row>
    <row r="21" spans="1:37" ht="35.65" customHeight="1">
      <c r="A21" s="1977"/>
      <c r="B21" s="1976" t="s">
        <v>641</v>
      </c>
      <c r="C21" s="1976" t="s">
        <v>642</v>
      </c>
      <c r="D21" s="1975" t="s">
        <v>615</v>
      </c>
      <c r="E21" s="1979" t="s">
        <v>626</v>
      </c>
      <c r="F21" s="1979" t="s">
        <v>626</v>
      </c>
      <c r="H21" s="1944"/>
      <c r="I21" s="1592">
        <v>5</v>
      </c>
      <c r="J21" s="1945" t="s">
        <v>643</v>
      </c>
      <c r="K21" s="1941" t="s">
        <v>581</v>
      </c>
      <c r="L21" s="665"/>
      <c r="M21" s="495"/>
      <c r="N21" s="481"/>
      <c r="O21" s="1453" t="s">
        <v>637</v>
      </c>
      <c r="P21" s="481"/>
      <c r="AK21" s="1559">
        <v>34</v>
      </c>
    </row>
    <row r="22" spans="1:37" ht="48.2" customHeight="1">
      <c r="A22" s="1977"/>
      <c r="B22" s="1976" t="s">
        <v>644</v>
      </c>
      <c r="C22" s="1976" t="s">
        <v>645</v>
      </c>
      <c r="D22" s="1975" t="s">
        <v>615</v>
      </c>
      <c r="E22" s="1979" t="s">
        <v>626</v>
      </c>
      <c r="F22" s="1979" t="s">
        <v>626</v>
      </c>
      <c r="H22" s="1944"/>
      <c r="I22" s="1592">
        <v>6</v>
      </c>
      <c r="J22" s="1945" t="s">
        <v>646</v>
      </c>
      <c r="K22" s="1941" t="s">
        <v>581</v>
      </c>
      <c r="L22" s="665"/>
      <c r="M22" s="495"/>
      <c r="N22" s="481"/>
      <c r="O22" s="1453" t="s">
        <v>647</v>
      </c>
      <c r="P22" s="481"/>
      <c r="AK22" s="1559">
        <v>46</v>
      </c>
    </row>
    <row r="23" spans="1:37" ht="19.899999999999999" customHeight="1">
      <c r="A23" s="1977"/>
      <c r="B23" s="1976" t="s">
        <v>648</v>
      </c>
      <c r="C23" s="1976" t="s">
        <v>649</v>
      </c>
      <c r="D23" s="1975" t="s">
        <v>615</v>
      </c>
      <c r="E23" s="1979" t="s">
        <v>626</v>
      </c>
      <c r="F23" s="1979" t="s">
        <v>626</v>
      </c>
      <c r="H23" s="1944"/>
      <c r="I23" s="1592" t="s">
        <v>650</v>
      </c>
      <c r="J23" s="1452" t="s">
        <v>651</v>
      </c>
      <c r="K23" s="1941" t="s">
        <v>581</v>
      </c>
      <c r="L23" s="665"/>
      <c r="M23" s="495"/>
      <c r="N23" s="481"/>
      <c r="O23" s="1453" t="s">
        <v>637</v>
      </c>
      <c r="P23" s="481"/>
      <c r="AK23" s="1559">
        <v>19</v>
      </c>
    </row>
    <row r="24" spans="1:37" ht="19.899999999999999" customHeight="1">
      <c r="A24" s="1977"/>
      <c r="B24" s="1976" t="s">
        <v>652</v>
      </c>
      <c r="C24" s="1976" t="s">
        <v>653</v>
      </c>
      <c r="D24" s="1975" t="s">
        <v>615</v>
      </c>
      <c r="E24" s="1979" t="s">
        <v>626</v>
      </c>
      <c r="F24" s="1979" t="s">
        <v>626</v>
      </c>
      <c r="H24" s="1944"/>
      <c r="I24" s="1592" t="s">
        <v>654</v>
      </c>
      <c r="J24" s="1452" t="s">
        <v>655</v>
      </c>
      <c r="K24" s="1941" t="s">
        <v>581</v>
      </c>
      <c r="L24" s="665"/>
      <c r="M24" s="495"/>
      <c r="N24" s="481"/>
      <c r="O24" s="1453"/>
      <c r="P24" s="481"/>
      <c r="AK24" s="1559">
        <v>19</v>
      </c>
    </row>
    <row r="25" spans="1:37" ht="24" customHeight="1">
      <c r="A25" s="1977"/>
      <c r="B25" s="1976" t="s">
        <v>656</v>
      </c>
      <c r="C25" s="1976" t="s">
        <v>657</v>
      </c>
      <c r="D25" s="1975" t="s">
        <v>615</v>
      </c>
      <c r="E25" s="1979" t="s">
        <v>626</v>
      </c>
      <c r="F25" s="1979" t="s">
        <v>626</v>
      </c>
      <c r="H25" s="1944"/>
      <c r="I25" s="1592" t="s">
        <v>658</v>
      </c>
      <c r="J25" s="1452" t="s">
        <v>659</v>
      </c>
      <c r="K25" s="1941" t="s">
        <v>581</v>
      </c>
      <c r="L25" s="665"/>
      <c r="M25" s="495"/>
      <c r="N25" s="481"/>
      <c r="O25" s="1453"/>
      <c r="P25" s="481"/>
      <c r="AK25" s="1559">
        <v>23</v>
      </c>
    </row>
    <row r="26" spans="1:37" ht="24" customHeight="1">
      <c r="A26" s="1977"/>
      <c r="B26" s="1976" t="s">
        <v>660</v>
      </c>
      <c r="C26" s="1976" t="s">
        <v>661</v>
      </c>
      <c r="D26" s="1975" t="s">
        <v>615</v>
      </c>
      <c r="E26" s="1979" t="s">
        <v>626</v>
      </c>
      <c r="F26" s="1979" t="s">
        <v>626</v>
      </c>
      <c r="H26" s="1944"/>
      <c r="I26" s="1592">
        <v>7</v>
      </c>
      <c r="J26" s="1945" t="s">
        <v>661</v>
      </c>
      <c r="K26" s="1941" t="s">
        <v>662</v>
      </c>
      <c r="L26" s="665"/>
      <c r="M26" s="495"/>
      <c r="N26" s="481"/>
      <c r="O26" s="1453"/>
      <c r="P26" s="481"/>
      <c r="AK26" s="1559">
        <v>23</v>
      </c>
    </row>
    <row r="27" spans="1:37" ht="24" customHeight="1">
      <c r="A27" s="1977"/>
      <c r="B27" s="1976" t="s">
        <v>663</v>
      </c>
      <c r="C27" s="1976" t="s">
        <v>664</v>
      </c>
      <c r="D27" s="1975" t="s">
        <v>615</v>
      </c>
      <c r="E27" s="1979" t="s">
        <v>626</v>
      </c>
      <c r="F27" s="1979" t="s">
        <v>626</v>
      </c>
      <c r="H27" s="1944"/>
      <c r="I27" s="1592">
        <v>8</v>
      </c>
      <c r="J27" s="1945" t="s">
        <v>664</v>
      </c>
      <c r="K27" s="1941" t="s">
        <v>587</v>
      </c>
      <c r="L27" s="665"/>
      <c r="M27" s="495"/>
      <c r="N27" s="481"/>
      <c r="O27" s="1453"/>
      <c r="P27" s="481"/>
      <c r="AK27" s="1559">
        <v>23</v>
      </c>
    </row>
    <row r="28" spans="1:37" ht="35.65" customHeight="1">
      <c r="A28" s="1977"/>
      <c r="B28" s="1976" t="s">
        <v>665</v>
      </c>
      <c r="C28" s="1976" t="s">
        <v>666</v>
      </c>
      <c r="D28" s="1975" t="s">
        <v>615</v>
      </c>
      <c r="E28" s="1979" t="s">
        <v>626</v>
      </c>
      <c r="F28" s="1979" t="s">
        <v>626</v>
      </c>
      <c r="H28" s="1944"/>
      <c r="I28" s="1603">
        <v>9</v>
      </c>
      <c r="J28" s="1945" t="s">
        <v>667</v>
      </c>
      <c r="K28" s="1941" t="s">
        <v>558</v>
      </c>
      <c r="L28" s="665"/>
      <c r="M28" s="495"/>
      <c r="N28" s="481"/>
      <c r="O28" s="1453"/>
      <c r="P28" s="481"/>
      <c r="AK28" s="1559">
        <v>34</v>
      </c>
    </row>
    <row r="29" spans="1:37" ht="35.65" customHeight="1">
      <c r="A29" s="1977"/>
      <c r="B29" s="1976" t="s">
        <v>668</v>
      </c>
      <c r="C29" s="1976" t="s">
        <v>669</v>
      </c>
      <c r="D29" s="1975" t="s">
        <v>615</v>
      </c>
      <c r="E29" s="1979" t="s">
        <v>626</v>
      </c>
      <c r="F29" s="1979" t="s">
        <v>626</v>
      </c>
      <c r="H29" s="1944"/>
      <c r="I29" s="1603">
        <v>10</v>
      </c>
      <c r="J29" s="1945" t="s">
        <v>670</v>
      </c>
      <c r="K29" s="1941" t="s">
        <v>558</v>
      </c>
      <c r="L29" s="665"/>
      <c r="M29" s="495"/>
      <c r="N29" s="481"/>
      <c r="O29" s="1453"/>
      <c r="P29" s="481"/>
      <c r="AK29" s="1559">
        <v>34</v>
      </c>
    </row>
    <row r="30" spans="1:37" ht="24" customHeight="1">
      <c r="A30" s="1977"/>
      <c r="B30" s="1976" t="s">
        <v>671</v>
      </c>
      <c r="C30" s="1976" t="s">
        <v>672</v>
      </c>
      <c r="D30" s="1975" t="s">
        <v>615</v>
      </c>
      <c r="E30" s="1979" t="s">
        <v>626</v>
      </c>
      <c r="F30" s="1979" t="s">
        <v>626</v>
      </c>
      <c r="H30" s="1944"/>
      <c r="I30" s="1603">
        <v>11</v>
      </c>
      <c r="J30" s="1945" t="s">
        <v>672</v>
      </c>
      <c r="K30" s="1941" t="s">
        <v>588</v>
      </c>
      <c r="L30" s="1992"/>
      <c r="M30" s="1549"/>
      <c r="N30" s="481"/>
      <c r="O30" s="1453"/>
      <c r="P30" s="481"/>
      <c r="AK30" s="1559">
        <v>23</v>
      </c>
    </row>
    <row r="31" spans="1:37" ht="24" customHeight="1">
      <c r="A31" s="1977"/>
      <c r="B31" s="1976" t="s">
        <v>673</v>
      </c>
      <c r="C31" s="1976" t="s">
        <v>674</v>
      </c>
      <c r="D31" s="1975" t="s">
        <v>615</v>
      </c>
      <c r="E31" s="1979" t="s">
        <v>626</v>
      </c>
      <c r="F31" s="1979" t="s">
        <v>626</v>
      </c>
      <c r="H31" s="1944"/>
      <c r="I31" s="1603">
        <v>12</v>
      </c>
      <c r="J31" s="1945" t="s">
        <v>674</v>
      </c>
      <c r="K31" s="1941" t="s">
        <v>588</v>
      </c>
      <c r="L31" s="1992"/>
      <c r="M31" s="1549"/>
      <c r="N31" s="481"/>
      <c r="O31" s="1453"/>
      <c r="P31" s="481"/>
      <c r="AK31" s="1559">
        <v>23</v>
      </c>
    </row>
    <row r="32" spans="1:37" ht="48.2" customHeight="1">
      <c r="A32" s="1977"/>
      <c r="B32" s="1976" t="s">
        <v>675</v>
      </c>
      <c r="C32" s="1976" t="s">
        <v>676</v>
      </c>
      <c r="D32" s="1975" t="s">
        <v>615</v>
      </c>
      <c r="E32" s="1979" t="s">
        <v>626</v>
      </c>
      <c r="F32" s="1979" t="s">
        <v>626</v>
      </c>
      <c r="H32" s="1944"/>
      <c r="I32" s="1603">
        <v>13</v>
      </c>
      <c r="J32" s="1945" t="s">
        <v>677</v>
      </c>
      <c r="K32" s="1941" t="s">
        <v>598</v>
      </c>
      <c r="L32" s="665"/>
      <c r="M32" s="495"/>
      <c r="N32" s="481"/>
      <c r="O32" s="1453" t="s">
        <v>637</v>
      </c>
      <c r="P32" s="481"/>
      <c r="AK32" s="1559">
        <v>46</v>
      </c>
    </row>
    <row r="33" spans="1:37" s="1294" customFormat="1" ht="48.2" customHeight="1">
      <c r="A33" s="1977"/>
      <c r="B33" s="1976" t="s">
        <v>678</v>
      </c>
      <c r="C33" s="1976" t="s">
        <v>679</v>
      </c>
      <c r="D33" s="1975" t="s">
        <v>615</v>
      </c>
      <c r="E33" s="1979" t="s">
        <v>626</v>
      </c>
      <c r="F33" s="1979" t="s">
        <v>626</v>
      </c>
      <c r="G33" s="1564"/>
      <c r="H33" s="1944"/>
      <c r="I33" s="1603">
        <v>14</v>
      </c>
      <c r="J33" s="1957" t="s">
        <v>680</v>
      </c>
      <c r="K33" s="1946" t="s">
        <v>681</v>
      </c>
      <c r="L33" s="665"/>
      <c r="M33" s="495"/>
      <c r="N33" s="481"/>
      <c r="O33" s="1453" t="s">
        <v>637</v>
      </c>
      <c r="P33" s="481"/>
      <c r="Q33" s="1564"/>
      <c r="R33" s="1564"/>
      <c r="W33" s="1564"/>
      <c r="Z33" s="482"/>
      <c r="AF33" s="1560"/>
      <c r="AG33" s="1560"/>
      <c r="AH33" s="1560"/>
      <c r="AI33" s="1560"/>
      <c r="AJ33" s="1560"/>
      <c r="AK33" s="1294">
        <v>46</v>
      </c>
    </row>
    <row r="34" spans="1:37" ht="108" customHeight="1">
      <c r="A34" s="1977"/>
      <c r="B34" s="1976" t="s">
        <v>682</v>
      </c>
      <c r="C34" s="1976" t="s">
        <v>683</v>
      </c>
      <c r="D34" s="1975" t="s">
        <v>625</v>
      </c>
      <c r="E34" s="1979" t="s">
        <v>626</v>
      </c>
      <c r="F34" s="1979" t="s">
        <v>626</v>
      </c>
      <c r="G34" s="1564" t="s">
        <v>586</v>
      </c>
      <c r="H34" s="1944"/>
      <c r="I34" s="1955">
        <v>15</v>
      </c>
      <c r="J34" s="1956" t="s">
        <v>684</v>
      </c>
      <c r="K34" s="1941" t="s">
        <v>304</v>
      </c>
      <c r="L34" s="323"/>
      <c r="M34" s="1092"/>
      <c r="N34" s="481"/>
      <c r="O34" s="1453" t="s">
        <v>629</v>
      </c>
      <c r="P34" s="481"/>
      <c r="AK34" s="1559">
        <v>103</v>
      </c>
    </row>
    <row r="35" spans="1:37" s="1569" customFormat="1" ht="11.4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4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4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4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4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4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4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4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4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4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4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4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4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4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4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4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4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4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4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4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4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4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4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4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4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4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4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4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4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4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4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4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4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4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4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4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4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4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4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4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4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4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4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4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4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4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4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4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4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4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4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4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4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4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4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4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4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4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4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4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4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4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4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4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4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4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4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4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4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4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4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4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4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4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4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4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4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4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4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4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4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4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4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4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4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4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4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4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4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4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4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4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4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4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4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4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4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4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4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4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4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4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4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4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4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4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4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4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4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4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4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4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4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4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4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4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4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4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4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4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4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4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4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4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4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4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4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4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4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4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4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4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4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4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4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4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4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4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4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4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4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4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4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4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4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4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4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4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4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4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4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4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4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4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4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45" customHeight="1">
      <c r="AK190" s="1559">
        <v>11</v>
      </c>
    </row>
    <row r="191" spans="1:37" ht="11.45" customHeight="1">
      <c r="AK191" s="1559">
        <v>11</v>
      </c>
    </row>
    <row r="192" spans="1:37" ht="11.45" customHeight="1">
      <c r="AK192" s="1559">
        <v>11</v>
      </c>
    </row>
    <row r="193" spans="1:37" ht="11.4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4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4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4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4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4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4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4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4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4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4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81</v>
      </c>
      <c r="B204" s="918" t="s">
        <v>149</v>
      </c>
      <c r="C204" s="918" t="s">
        <v>149</v>
      </c>
      <c r="D204" s="918" t="s">
        <v>149</v>
      </c>
      <c r="E204" s="918" t="s">
        <v>149</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3" hidden="1"/>
    <col min="5" max="5" width="9.140625" style="2013" hidden="1" customWidth="1"/>
    <col min="6" max="7" width="9.1406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5703125" style="1563" hidden="1"/>
  </cols>
  <sheetData>
    <row r="1" spans="1:23" ht="22.5" hidden="1" customHeight="1">
      <c r="S1" s="193"/>
      <c r="T1" s="193"/>
      <c r="V1" s="193"/>
      <c r="W1" s="1559" t="s">
        <v>14</v>
      </c>
    </row>
    <row r="2" spans="1:23" ht="22.5" hidden="1" customHeight="1">
      <c r="B2" s="1976" t="s">
        <v>685</v>
      </c>
      <c r="C2" s="1976" t="s">
        <v>686</v>
      </c>
      <c r="D2" s="1975" t="s">
        <v>625</v>
      </c>
      <c r="E2" s="1981">
        <f>I2-3</f>
        <v>-3</v>
      </c>
      <c r="F2" s="1981">
        <f>J2</f>
        <v>0</v>
      </c>
      <c r="H2" s="1657" t="s">
        <v>687</v>
      </c>
      <c r="I2" s="1947"/>
      <c r="J2" s="1610"/>
      <c r="K2" s="1941" t="s">
        <v>304</v>
      </c>
      <c r="L2" s="1092"/>
      <c r="M2" s="235"/>
      <c r="N2" s="1552"/>
      <c r="P2" s="1559"/>
      <c r="W2" s="1559">
        <v>0</v>
      </c>
    </row>
    <row r="3" spans="1:23" ht="14.25" hidden="1" customHeight="1">
      <c r="W3" s="1559">
        <v>0</v>
      </c>
    </row>
    <row r="4" spans="1:23" ht="6.4" customHeight="1">
      <c r="H4" s="314"/>
      <c r="I4" s="395"/>
      <c r="J4" s="395"/>
      <c r="K4" s="395"/>
      <c r="L4" s="25"/>
      <c r="M4" s="25"/>
      <c r="W4" s="1559">
        <v>6</v>
      </c>
    </row>
    <row r="5" spans="1:23" ht="50.25" customHeight="1">
      <c r="H5" s="314"/>
      <c r="I5" s="2175" t="s">
        <v>688</v>
      </c>
      <c r="J5" s="2175"/>
      <c r="K5" s="2175"/>
      <c r="L5" s="2175"/>
      <c r="M5" s="204"/>
      <c r="W5" s="1559">
        <v>48</v>
      </c>
    </row>
    <row r="6" spans="1:23" ht="18" customHeight="1">
      <c r="H6" s="314"/>
      <c r="I6" s="2147" t="str">
        <f>IF(org=0,"Не определено",org)</f>
        <v>ООО "Профит"</v>
      </c>
      <c r="J6" s="2147"/>
      <c r="K6" s="2147"/>
      <c r="L6" s="2147"/>
      <c r="M6" s="204"/>
      <c r="W6" s="1559">
        <v>17</v>
      </c>
    </row>
    <row r="7" spans="1:23" ht="14.65" customHeight="1">
      <c r="H7" s="314"/>
      <c r="I7" s="395"/>
      <c r="J7" s="401"/>
      <c r="K7" s="401"/>
      <c r="L7" s="690"/>
      <c r="M7" s="131"/>
      <c r="W7" s="1559">
        <v>14</v>
      </c>
    </row>
    <row r="8" spans="1:23" ht="14.65" customHeight="1">
      <c r="H8" s="314"/>
      <c r="I8" s="2293" t="s">
        <v>298</v>
      </c>
      <c r="J8" s="2294"/>
      <c r="K8" s="2294"/>
      <c r="L8" s="2295"/>
      <c r="M8" s="2296" t="s">
        <v>299</v>
      </c>
      <c r="W8" s="1559">
        <v>14</v>
      </c>
    </row>
    <row r="9" spans="1:23" ht="35.65" customHeight="1">
      <c r="E9" s="1974" t="s">
        <v>616</v>
      </c>
      <c r="F9" s="1974" t="s">
        <v>622</v>
      </c>
      <c r="H9" s="314"/>
      <c r="I9" s="1948" t="s">
        <v>87</v>
      </c>
      <c r="J9" s="1949" t="s">
        <v>300</v>
      </c>
      <c r="K9" s="1987" t="s">
        <v>564</v>
      </c>
      <c r="L9" s="1988" t="s">
        <v>301</v>
      </c>
      <c r="M9" s="2296"/>
      <c r="W9" s="1559">
        <v>34</v>
      </c>
    </row>
    <row r="10" spans="1:23" ht="35.65" customHeight="1">
      <c r="B10" s="1976" t="s">
        <v>689</v>
      </c>
      <c r="C10" s="1976" t="s">
        <v>690</v>
      </c>
      <c r="D10" s="1975" t="s">
        <v>625</v>
      </c>
      <c r="E10" s="1979" t="s">
        <v>626</v>
      </c>
      <c r="F10" s="1979" t="s">
        <v>626</v>
      </c>
      <c r="H10" s="314"/>
      <c r="I10" s="1947" t="s">
        <v>108</v>
      </c>
      <c r="J10" s="1812" t="s">
        <v>691</v>
      </c>
      <c r="K10" s="1941" t="s">
        <v>304</v>
      </c>
      <c r="L10" s="750"/>
      <c r="M10" s="235" t="s">
        <v>692</v>
      </c>
      <c r="W10" s="1559">
        <v>34</v>
      </c>
    </row>
    <row r="11" spans="1:23" ht="50.25" customHeight="1">
      <c r="B11" s="1976" t="s">
        <v>693</v>
      </c>
      <c r="C11" s="1976" t="s">
        <v>694</v>
      </c>
      <c r="D11" s="1975" t="s">
        <v>625</v>
      </c>
      <c r="E11" s="1979" t="s">
        <v>626</v>
      </c>
      <c r="F11" s="1979" t="s">
        <v>626</v>
      </c>
      <c r="H11" s="314"/>
      <c r="I11" s="1947" t="s">
        <v>109</v>
      </c>
      <c r="J11" s="1812" t="s">
        <v>695</v>
      </c>
      <c r="K11" s="1941" t="s">
        <v>304</v>
      </c>
      <c r="L11" s="750"/>
      <c r="M11" s="235" t="s">
        <v>692</v>
      </c>
      <c r="W11" s="1559">
        <v>48</v>
      </c>
    </row>
    <row r="12" spans="1:23" ht="48.2" customHeight="1">
      <c r="B12" s="1976" t="s">
        <v>696</v>
      </c>
      <c r="C12" s="1976" t="s">
        <v>697</v>
      </c>
      <c r="D12" s="1975" t="s">
        <v>625</v>
      </c>
      <c r="E12" s="1979" t="s">
        <v>626</v>
      </c>
      <c r="F12" s="1979" t="s">
        <v>626</v>
      </c>
      <c r="H12" s="1616"/>
      <c r="I12" s="1947" t="s">
        <v>89</v>
      </c>
      <c r="J12" s="1954" t="s">
        <v>698</v>
      </c>
      <c r="K12" s="1941" t="s">
        <v>304</v>
      </c>
      <c r="L12" s="750"/>
      <c r="M12" s="235" t="s">
        <v>699</v>
      </c>
      <c r="N12" s="1552"/>
      <c r="P12" s="1559"/>
      <c r="W12" s="1559">
        <v>46</v>
      </c>
    </row>
    <row r="13" spans="1:23" ht="14.65" customHeight="1">
      <c r="E13" s="281"/>
      <c r="H13" s="314"/>
      <c r="I13" s="285"/>
      <c r="J13" s="589" t="s">
        <v>700</v>
      </c>
      <c r="K13" s="509"/>
      <c r="L13" s="152"/>
      <c r="M13" s="235"/>
      <c r="W13" s="1559">
        <v>14</v>
      </c>
    </row>
    <row r="14" spans="1:23" ht="14.65" customHeight="1">
      <c r="E14" s="281"/>
      <c r="H14" s="314"/>
      <c r="I14" s="988"/>
      <c r="J14" s="1605"/>
      <c r="K14" s="1606"/>
      <c r="L14" s="1607"/>
      <c r="M14" s="1951"/>
      <c r="W14" s="1559">
        <v>14</v>
      </c>
    </row>
    <row r="15" spans="1:23" ht="14.65" customHeight="1">
      <c r="I15" s="1609"/>
      <c r="J15" s="2193"/>
      <c r="K15" s="2193"/>
      <c r="L15" s="2193"/>
      <c r="M15" s="2193"/>
      <c r="W15" s="1559">
        <v>14</v>
      </c>
    </row>
    <row r="16" spans="1:23" ht="21" hidden="1" customHeight="1">
      <c r="A16" s="1953" t="s">
        <v>81</v>
      </c>
      <c r="B16" s="1559">
        <v>9</v>
      </c>
      <c r="C16" s="1559">
        <v>9</v>
      </c>
      <c r="D16" s="1559">
        <v>9</v>
      </c>
      <c r="E16" s="1953" t="s">
        <v>148</v>
      </c>
      <c r="F16" s="1978" t="s">
        <v>148</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6"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4257812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550</v>
      </c>
      <c r="H2" s="479"/>
      <c r="I2" s="479"/>
      <c r="J2" s="480" t="s">
        <v>701</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1.5" customHeight="1">
      <c r="E6" s="2124" t="s">
        <v>702</v>
      </c>
      <c r="F6" s="2124"/>
      <c r="G6" s="2124"/>
      <c r="H6" s="2124"/>
      <c r="I6" s="2124"/>
      <c r="J6" s="494"/>
      <c r="AF6" s="1559">
        <v>30</v>
      </c>
    </row>
    <row r="7" spans="1:32" ht="11.45" customHeight="1">
      <c r="E7" s="2147" t="str">
        <f>IF(org=0,"Не определено",org)</f>
        <v>ООО "Профит"</v>
      </c>
      <c r="F7" s="2147"/>
      <c r="G7" s="2147"/>
      <c r="H7" s="2147"/>
      <c r="I7" s="2147"/>
      <c r="AF7" s="1559">
        <v>11</v>
      </c>
    </row>
    <row r="8" spans="1:32" ht="11.45" customHeight="1">
      <c r="E8" s="1063"/>
      <c r="F8" s="1063"/>
      <c r="G8" s="1063"/>
      <c r="H8" s="1063"/>
      <c r="I8" s="1063"/>
      <c r="AF8" s="1559">
        <v>11</v>
      </c>
    </row>
    <row r="9" spans="1:32" s="1570" customFormat="1" ht="4.1500000000000004" customHeight="1">
      <c r="A9" s="1095"/>
      <c r="H9" s="820"/>
      <c r="I9" s="820" t="s">
        <v>116</v>
      </c>
      <c r="AF9" s="1564">
        <v>4</v>
      </c>
    </row>
    <row r="10" spans="1:32" ht="11.45" customHeight="1">
      <c r="E10" s="649"/>
      <c r="F10" s="2289" t="s">
        <v>104</v>
      </c>
      <c r="G10" s="2290"/>
      <c r="H10" s="1480" t="str">
        <f>IF(H9="","",INDEX(DIFFERENTIATION_UNMERGE_VD,MATCH(H9,DIFFERENTIATION_ID_DIFF,0)))</f>
        <v/>
      </c>
      <c r="I10" s="1480" t="str">
        <f>IF(I9="","",INDEX(DIFFERENTIATION_UNMERGE_VD,MATCH(I9,DIFFERENTIATION_ID_DIFF,0)))</f>
        <v>Транспортировка. Питьевая вода</v>
      </c>
      <c r="J10" s="2066"/>
      <c r="AF10" s="1559">
        <v>11</v>
      </c>
    </row>
    <row r="11" spans="1:32" ht="11.45" customHeight="1">
      <c r="E11" s="649"/>
      <c r="F11" s="2289" t="s">
        <v>562</v>
      </c>
      <c r="G11" s="2290"/>
      <c r="H11" s="1480" t="str">
        <f>IF(H9="","",INDEX(DIFFERENTIATION_UNMERGE_AREA,MATCH(H9,DIFFERENTIATION_ID_DIFF,0)))</f>
        <v/>
      </c>
      <c r="I11" s="1480" t="str">
        <f>IF(I9="","",INDEX(DIFFERENTIATION_UNMERGE_AREA,MATCH(I9,DIFFERENTIATION_ID_DIFF,0)))</f>
        <v>Территория 1</v>
      </c>
      <c r="J11" s="2066"/>
      <c r="AF11" s="1559">
        <v>11</v>
      </c>
    </row>
    <row r="12" spans="1:32" ht="1.1499999999999999" customHeight="1">
      <c r="E12" s="1590"/>
      <c r="F12" s="2297" t="s">
        <v>563</v>
      </c>
      <c r="G12" s="2298"/>
      <c r="H12" s="1591" t="str">
        <f>IF(H9="","",INDEX(DIFFERENTIATION_UNMERGE_SYSTEM,MATCH(H9,DIFFERENTIATION_ID_DIFF,0)))</f>
        <v/>
      </c>
      <c r="I12" s="1591" t="str">
        <f>IF(I9="","",INDEX(DIFFERENTIATION_UNMERGE_SYSTEM,MATCH(I9,DIFFERENTIATION_ID_DIFF,0)))</f>
        <v>без дифференциации</v>
      </c>
      <c r="J12" s="2066"/>
      <c r="AF12" s="1559">
        <v>1</v>
      </c>
    </row>
    <row r="13" spans="1:32" ht="11.45" customHeight="1">
      <c r="E13" s="2291" t="s">
        <v>298</v>
      </c>
      <c r="F13" s="2292"/>
      <c r="G13" s="2292"/>
      <c r="H13" s="1479"/>
      <c r="I13" s="1479"/>
      <c r="J13" s="2066"/>
      <c r="AF13" s="1559">
        <v>11</v>
      </c>
    </row>
    <row r="14" spans="1:32" ht="24" customHeight="1">
      <c r="E14" s="1567" t="s">
        <v>87</v>
      </c>
      <c r="F14" s="1562" t="s">
        <v>300</v>
      </c>
      <c r="G14" s="1562" t="s">
        <v>564</v>
      </c>
      <c r="H14" s="1562" t="s">
        <v>301</v>
      </c>
      <c r="I14" s="1562" t="s">
        <v>301</v>
      </c>
      <c r="J14" s="2066"/>
      <c r="AF14" s="1559">
        <v>23</v>
      </c>
    </row>
    <row r="15" spans="1:32" ht="19.899999999999999" customHeight="1">
      <c r="D15" s="1566"/>
      <c r="E15" s="1558" t="s">
        <v>108</v>
      </c>
      <c r="F15" s="645" t="s">
        <v>703</v>
      </c>
      <c r="G15" s="1574" t="s">
        <v>550</v>
      </c>
      <c r="H15" s="495"/>
      <c r="I15" s="495"/>
      <c r="J15" s="227" t="s">
        <v>704</v>
      </c>
      <c r="K15" s="481" t="s">
        <v>628</v>
      </c>
      <c r="AF15" s="1559">
        <v>19</v>
      </c>
    </row>
    <row r="16" spans="1:32" ht="35.65" customHeight="1">
      <c r="D16" s="1566"/>
      <c r="E16" s="1558" t="s">
        <v>109</v>
      </c>
      <c r="F16" s="645" t="s">
        <v>705</v>
      </c>
      <c r="G16" s="1574" t="s">
        <v>550</v>
      </c>
      <c r="H16" s="496">
        <f>SUM(H17,H20:H32)</f>
        <v>0</v>
      </c>
      <c r="I16" s="496">
        <f>SUM(I17,I20,I23,I26,I29:I32)</f>
        <v>0</v>
      </c>
      <c r="J16" s="227" t="s">
        <v>706</v>
      </c>
      <c r="K16" s="481" t="s">
        <v>628</v>
      </c>
      <c r="AF16" s="1559">
        <v>34</v>
      </c>
    </row>
    <row r="17" spans="1:32" ht="19.899999999999999" customHeight="1">
      <c r="D17" s="1566"/>
      <c r="E17" s="1592" t="s">
        <v>707</v>
      </c>
      <c r="F17" s="885" t="s">
        <v>708</v>
      </c>
      <c r="G17" s="1571" t="s">
        <v>550</v>
      </c>
      <c r="H17" s="495"/>
      <c r="I17" s="495"/>
      <c r="J17" s="227" t="s">
        <v>709</v>
      </c>
      <c r="K17" s="481"/>
      <c r="AF17" s="1559">
        <v>19</v>
      </c>
    </row>
    <row r="18" spans="1:32" ht="24" customHeight="1">
      <c r="D18" s="1566"/>
      <c r="E18" s="1592" t="s">
        <v>710</v>
      </c>
      <c r="F18" s="1578" t="s">
        <v>711</v>
      </c>
      <c r="G18" s="1571" t="s">
        <v>550</v>
      </c>
      <c r="H18" s="495"/>
      <c r="I18" s="495"/>
      <c r="J18" s="227" t="s">
        <v>712</v>
      </c>
      <c r="K18" s="481"/>
      <c r="AF18" s="1559">
        <v>23</v>
      </c>
    </row>
    <row r="19" spans="1:32" ht="35.65" customHeight="1">
      <c r="D19" s="1566"/>
      <c r="E19" s="1592" t="s">
        <v>713</v>
      </c>
      <c r="F19" s="1578" t="s">
        <v>714</v>
      </c>
      <c r="G19" s="1571" t="s">
        <v>550</v>
      </c>
      <c r="H19" s="495"/>
      <c r="I19" s="495"/>
      <c r="J19" s="227"/>
      <c r="K19" s="481"/>
      <c r="AF19" s="1559">
        <v>34</v>
      </c>
    </row>
    <row r="20" spans="1:32" ht="19.899999999999999" customHeight="1">
      <c r="D20" s="1566"/>
      <c r="E20" s="1592" t="s">
        <v>305</v>
      </c>
      <c r="F20" s="885" t="s">
        <v>715</v>
      </c>
      <c r="G20" s="1571" t="s">
        <v>550</v>
      </c>
      <c r="H20" s="495"/>
      <c r="I20" s="495"/>
      <c r="J20" s="227" t="s">
        <v>716</v>
      </c>
      <c r="K20" s="481"/>
      <c r="AF20" s="1559">
        <v>19</v>
      </c>
    </row>
    <row r="21" spans="1:32" ht="19.899999999999999" customHeight="1">
      <c r="D21" s="1566"/>
      <c r="E21" s="1592" t="s">
        <v>717</v>
      </c>
      <c r="F21" s="1578" t="s">
        <v>718</v>
      </c>
      <c r="G21" s="1571" t="s">
        <v>550</v>
      </c>
      <c r="H21" s="495"/>
      <c r="I21" s="495"/>
      <c r="J21" s="227"/>
      <c r="K21" s="481"/>
      <c r="AF21" s="1559">
        <v>19</v>
      </c>
    </row>
    <row r="22" spans="1:32" ht="19.899999999999999" customHeight="1">
      <c r="D22" s="1566"/>
      <c r="E22" s="1592" t="s">
        <v>719</v>
      </c>
      <c r="F22" s="1578" t="s">
        <v>720</v>
      </c>
      <c r="G22" s="1571" t="s">
        <v>550</v>
      </c>
      <c r="H22" s="495"/>
      <c r="I22" s="495"/>
      <c r="J22" s="227"/>
      <c r="K22" s="481"/>
      <c r="AF22" s="1559">
        <v>19</v>
      </c>
    </row>
    <row r="23" spans="1:32" ht="24" customHeight="1">
      <c r="D23" s="1566"/>
      <c r="E23" s="1592" t="s">
        <v>308</v>
      </c>
      <c r="F23" s="885" t="s">
        <v>721</v>
      </c>
      <c r="G23" s="1571" t="s">
        <v>550</v>
      </c>
      <c r="H23" s="495"/>
      <c r="I23" s="495"/>
      <c r="J23" s="227" t="s">
        <v>722</v>
      </c>
      <c r="K23" s="481"/>
      <c r="AF23" s="1559">
        <v>23</v>
      </c>
    </row>
    <row r="24" spans="1:32" ht="19.899999999999999" customHeight="1">
      <c r="D24" s="1566"/>
      <c r="E24" s="1592" t="s">
        <v>723</v>
      </c>
      <c r="F24" s="1578" t="s">
        <v>724</v>
      </c>
      <c r="G24" s="1571" t="s">
        <v>550</v>
      </c>
      <c r="H24" s="495"/>
      <c r="I24" s="495"/>
      <c r="J24" s="227"/>
      <c r="K24" s="481"/>
      <c r="AF24" s="1559">
        <v>19</v>
      </c>
    </row>
    <row r="25" spans="1:32" ht="35.65" customHeight="1">
      <c r="D25" s="1566"/>
      <c r="E25" s="1592" t="s">
        <v>725</v>
      </c>
      <c r="F25" s="1578" t="s">
        <v>726</v>
      </c>
      <c r="G25" s="1571" t="s">
        <v>550</v>
      </c>
      <c r="H25" s="495"/>
      <c r="I25" s="495"/>
      <c r="J25" s="227"/>
      <c r="K25" s="481"/>
      <c r="AF25" s="1559">
        <v>34</v>
      </c>
    </row>
    <row r="26" spans="1:32" ht="24" customHeight="1">
      <c r="D26" s="1566"/>
      <c r="E26" s="1592" t="s">
        <v>727</v>
      </c>
      <c r="F26" s="885" t="s">
        <v>728</v>
      </c>
      <c r="G26" s="1571" t="s">
        <v>550</v>
      </c>
      <c r="H26" s="495"/>
      <c r="I26" s="495"/>
      <c r="J26" s="227" t="s">
        <v>729</v>
      </c>
      <c r="K26" s="481"/>
      <c r="AF26" s="1559">
        <v>23</v>
      </c>
    </row>
    <row r="27" spans="1:32" ht="19.899999999999999" customHeight="1">
      <c r="D27" s="1566"/>
      <c r="E27" s="1603" t="s">
        <v>730</v>
      </c>
      <c r="F27" s="1578" t="s">
        <v>731</v>
      </c>
      <c r="G27" s="1582" t="s">
        <v>550</v>
      </c>
      <c r="H27" s="1604"/>
      <c r="I27" s="1604"/>
      <c r="J27" s="227"/>
      <c r="K27" s="481"/>
      <c r="AF27" s="1559">
        <v>19</v>
      </c>
    </row>
    <row r="28" spans="1:32" ht="19.899999999999999" customHeight="1">
      <c r="D28" s="1566"/>
      <c r="E28" s="1603" t="s">
        <v>732</v>
      </c>
      <c r="F28" s="1578" t="s">
        <v>733</v>
      </c>
      <c r="G28" s="1582" t="s">
        <v>550</v>
      </c>
      <c r="H28" s="1604"/>
      <c r="I28" s="1604"/>
      <c r="J28" s="227"/>
      <c r="K28" s="481"/>
      <c r="AF28" s="1559">
        <v>19</v>
      </c>
    </row>
    <row r="29" spans="1:32" ht="19.899999999999999" customHeight="1">
      <c r="D29" s="1566"/>
      <c r="E29" s="1603" t="s">
        <v>734</v>
      </c>
      <c r="F29" s="885" t="s">
        <v>735</v>
      </c>
      <c r="G29" s="1582" t="s">
        <v>550</v>
      </c>
      <c r="H29" s="1604"/>
      <c r="I29" s="1604"/>
      <c r="J29" s="227"/>
      <c r="K29" s="481"/>
      <c r="AF29" s="1559">
        <v>19</v>
      </c>
    </row>
    <row r="30" spans="1:32" ht="19.899999999999999" customHeight="1">
      <c r="D30" s="1566"/>
      <c r="E30" s="1603" t="s">
        <v>736</v>
      </c>
      <c r="F30" s="885" t="s">
        <v>737</v>
      </c>
      <c r="G30" s="1582" t="s">
        <v>550</v>
      </c>
      <c r="H30" s="1604"/>
      <c r="I30" s="1604"/>
      <c r="J30" s="227"/>
      <c r="K30" s="481"/>
      <c r="AF30" s="1559">
        <v>19</v>
      </c>
    </row>
    <row r="31" spans="1:32" ht="19.899999999999999" customHeight="1">
      <c r="D31" s="1566"/>
      <c r="E31" s="1603" t="s">
        <v>738</v>
      </c>
      <c r="F31" s="885" t="s">
        <v>739</v>
      </c>
      <c r="G31" s="1582" t="s">
        <v>550</v>
      </c>
      <c r="H31" s="1604"/>
      <c r="I31" s="1604"/>
      <c r="J31" s="227"/>
      <c r="K31" s="481"/>
      <c r="AF31" s="1559">
        <v>19</v>
      </c>
    </row>
    <row r="32" spans="1:32" s="1294" customFormat="1" ht="35.65" customHeight="1">
      <c r="A32" s="918"/>
      <c r="C32" s="1564"/>
      <c r="D32" s="1566"/>
      <c r="E32" s="1603" t="s">
        <v>740</v>
      </c>
      <c r="F32" s="885" t="s">
        <v>741</v>
      </c>
      <c r="G32" s="1572" t="s">
        <v>550</v>
      </c>
      <c r="H32" s="517">
        <f>SUM(H33:H34)</f>
        <v>0</v>
      </c>
      <c r="I32" s="517">
        <f>SUM(I33:I34)</f>
        <v>0</v>
      </c>
      <c r="J32" s="227" t="s">
        <v>742</v>
      </c>
      <c r="K32" s="481"/>
      <c r="L32" s="1564"/>
      <c r="M32" s="1564"/>
      <c r="R32" s="1564"/>
      <c r="U32" s="482"/>
      <c r="AA32" s="1560"/>
      <c r="AB32" s="1560"/>
      <c r="AC32" s="1560"/>
      <c r="AD32" s="1560"/>
      <c r="AE32" s="1560"/>
      <c r="AF32" s="1088">
        <v>34</v>
      </c>
    </row>
    <row r="33" spans="1:32" s="1570" customFormat="1" ht="1.1499999999999999" customHeight="1">
      <c r="A33" s="1095"/>
      <c r="D33" s="486"/>
      <c r="E33" s="734" t="str">
        <f>E32&amp;".0"</f>
        <v>2.8.0</v>
      </c>
      <c r="F33" s="922"/>
      <c r="G33" s="489"/>
      <c r="H33" s="923"/>
      <c r="I33" s="923"/>
      <c r="J33" s="924"/>
      <c r="AF33" s="1564">
        <v>1</v>
      </c>
    </row>
    <row r="34" spans="1:32" s="1294" customFormat="1" ht="19.899999999999999" customHeight="1">
      <c r="A34" s="918"/>
      <c r="C34" s="1564"/>
      <c r="D34" s="1561"/>
      <c r="E34" s="508"/>
      <c r="F34" s="1594" t="s">
        <v>575</v>
      </c>
      <c r="G34" s="510"/>
      <c r="H34" s="511"/>
      <c r="I34" s="511"/>
      <c r="J34" s="239" t="s">
        <v>743</v>
      </c>
      <c r="K34" s="481"/>
      <c r="L34" s="1564"/>
      <c r="M34" s="1564"/>
      <c r="R34" s="1564"/>
      <c r="U34" s="482"/>
      <c r="AA34" s="1560"/>
      <c r="AB34" s="1560"/>
      <c r="AC34" s="1560"/>
      <c r="AD34" s="1560"/>
      <c r="AE34" s="1560"/>
      <c r="AF34" s="1088">
        <v>19</v>
      </c>
    </row>
    <row r="35" spans="1:32" ht="60" customHeight="1">
      <c r="D35" s="1566"/>
      <c r="E35" s="1603" t="s">
        <v>744</v>
      </c>
      <c r="F35" s="885" t="s">
        <v>745</v>
      </c>
      <c r="G35" s="1582" t="s">
        <v>550</v>
      </c>
      <c r="H35" s="1604"/>
      <c r="I35" s="1604"/>
      <c r="J35" s="227" t="s">
        <v>746</v>
      </c>
      <c r="K35" s="481"/>
      <c r="AF35" s="1559">
        <v>57</v>
      </c>
    </row>
    <row r="36" spans="1:32" s="1294" customFormat="1" ht="24" customHeight="1">
      <c r="A36" s="920" t="s">
        <v>576</v>
      </c>
      <c r="C36" s="1564"/>
      <c r="D36" s="1566"/>
      <c r="E36" s="1592" t="s">
        <v>89</v>
      </c>
      <c r="F36" s="645" t="s">
        <v>747</v>
      </c>
      <c r="G36" s="1571" t="s">
        <v>550</v>
      </c>
      <c r="H36" s="495"/>
      <c r="I36" s="495"/>
      <c r="J36" s="227" t="s">
        <v>748</v>
      </c>
      <c r="K36" s="481"/>
      <c r="L36" s="1564"/>
      <c r="M36" s="1564"/>
      <c r="R36" s="1564"/>
      <c r="U36" s="482"/>
      <c r="AA36" s="1560"/>
      <c r="AB36" s="1560"/>
      <c r="AC36" s="1560"/>
      <c r="AD36" s="1560"/>
      <c r="AE36" s="1560"/>
      <c r="AF36" s="1088">
        <v>23</v>
      </c>
    </row>
    <row r="37" spans="1:32" s="1294" customFormat="1" ht="35.65" customHeight="1">
      <c r="A37" s="920"/>
      <c r="C37" s="1564"/>
      <c r="D37" s="1566"/>
      <c r="E37" s="1592" t="s">
        <v>322</v>
      </c>
      <c r="F37" s="885" t="s">
        <v>749</v>
      </c>
      <c r="G37" s="1582"/>
      <c r="H37" s="495"/>
      <c r="I37" s="495"/>
      <c r="J37" s="227"/>
      <c r="K37" s="481"/>
      <c r="L37" s="1564"/>
      <c r="M37" s="1564"/>
      <c r="R37" s="1564"/>
      <c r="U37" s="482"/>
      <c r="AA37" s="1560"/>
      <c r="AB37" s="1560"/>
      <c r="AC37" s="1560"/>
      <c r="AD37" s="1560"/>
      <c r="AE37" s="1560"/>
      <c r="AF37" s="1088">
        <v>34</v>
      </c>
    </row>
    <row r="38" spans="1:32" s="1294" customFormat="1" ht="19.899999999999999" customHeight="1">
      <c r="A38" s="918"/>
      <c r="C38" s="1564"/>
      <c r="D38" s="513"/>
      <c r="E38" s="1592" t="s">
        <v>90</v>
      </c>
      <c r="F38" s="645" t="s">
        <v>750</v>
      </c>
      <c r="G38" s="1571" t="s">
        <v>550</v>
      </c>
      <c r="H38" s="495"/>
      <c r="I38" s="495"/>
      <c r="J38" s="227" t="s">
        <v>751</v>
      </c>
      <c r="K38" s="481"/>
      <c r="L38" s="1564"/>
      <c r="M38" s="1564"/>
      <c r="R38" s="1564"/>
      <c r="U38" s="482"/>
      <c r="AA38" s="1560"/>
      <c r="AB38" s="1560"/>
      <c r="AC38" s="1560"/>
      <c r="AD38" s="1560"/>
      <c r="AE38" s="1560"/>
      <c r="AF38" s="1088">
        <v>19</v>
      </c>
    </row>
    <row r="39" spans="1:32" s="1294" customFormat="1" ht="24" customHeight="1">
      <c r="A39" s="918"/>
      <c r="C39" s="1564"/>
      <c r="D39" s="513"/>
      <c r="E39" s="1592" t="s">
        <v>752</v>
      </c>
      <c r="F39" s="885" t="s">
        <v>753</v>
      </c>
      <c r="G39" s="1582" t="s">
        <v>550</v>
      </c>
      <c r="H39" s="495"/>
      <c r="I39" s="495"/>
      <c r="J39" s="227" t="s">
        <v>754</v>
      </c>
      <c r="K39" s="481"/>
      <c r="L39" s="1564"/>
      <c r="M39" s="1564"/>
      <c r="R39" s="1564"/>
      <c r="U39" s="482"/>
      <c r="AA39" s="1560"/>
      <c r="AB39" s="1560"/>
      <c r="AC39" s="1560"/>
      <c r="AD39" s="1560"/>
      <c r="AE39" s="1560"/>
      <c r="AF39" s="1088">
        <v>23</v>
      </c>
    </row>
    <row r="40" spans="1:32" s="1294" customFormat="1" ht="24" customHeight="1">
      <c r="A40" s="918"/>
      <c r="C40" s="1564"/>
      <c r="D40" s="1566"/>
      <c r="E40" s="1592" t="s">
        <v>755</v>
      </c>
      <c r="F40" s="1578" t="s">
        <v>756</v>
      </c>
      <c r="G40" s="1571" t="s">
        <v>550</v>
      </c>
      <c r="H40" s="495"/>
      <c r="I40" s="495"/>
      <c r="J40" s="227" t="s">
        <v>757</v>
      </c>
      <c r="K40" s="481"/>
      <c r="L40" s="1564"/>
      <c r="M40" s="1564"/>
      <c r="R40" s="1564"/>
      <c r="U40" s="482"/>
      <c r="AA40" s="1560"/>
      <c r="AB40" s="1560"/>
      <c r="AC40" s="1560"/>
      <c r="AD40" s="1560"/>
      <c r="AE40" s="1560"/>
      <c r="AF40" s="1088">
        <v>23</v>
      </c>
    </row>
    <row r="41" spans="1:32" s="1294" customFormat="1" ht="24" customHeight="1">
      <c r="A41" s="918"/>
      <c r="C41" s="1564"/>
      <c r="D41" s="1566"/>
      <c r="E41" s="1592" t="s">
        <v>758</v>
      </c>
      <c r="F41" s="1578" t="s">
        <v>759</v>
      </c>
      <c r="G41" s="1571" t="s">
        <v>550</v>
      </c>
      <c r="H41" s="495"/>
      <c r="I41" s="495"/>
      <c r="J41" s="227" t="s">
        <v>760</v>
      </c>
      <c r="K41" s="481"/>
      <c r="L41" s="1564"/>
      <c r="M41" s="1564"/>
      <c r="R41" s="1564"/>
      <c r="U41" s="482"/>
      <c r="AA41" s="1560"/>
      <c r="AB41" s="1560"/>
      <c r="AC41" s="1560"/>
      <c r="AD41" s="1560"/>
      <c r="AE41" s="1560"/>
      <c r="AF41" s="1088">
        <v>23</v>
      </c>
    </row>
    <row r="42" spans="1:32" s="1294" customFormat="1" ht="24" customHeight="1">
      <c r="A42" s="918"/>
      <c r="C42" s="1564"/>
      <c r="D42" s="1566"/>
      <c r="E42" s="1592" t="s">
        <v>761</v>
      </c>
      <c r="F42" s="1578" t="s">
        <v>762</v>
      </c>
      <c r="G42" s="1571" t="s">
        <v>550</v>
      </c>
      <c r="H42" s="495"/>
      <c r="I42" s="495"/>
      <c r="J42" s="227" t="s">
        <v>763</v>
      </c>
      <c r="K42" s="481"/>
      <c r="L42" s="1564"/>
      <c r="M42" s="1564"/>
      <c r="R42" s="1564"/>
      <c r="U42" s="482"/>
      <c r="AA42" s="1560"/>
      <c r="AB42" s="1560"/>
      <c r="AC42" s="1560"/>
      <c r="AD42" s="1560"/>
      <c r="AE42" s="1560"/>
      <c r="AF42" s="1088">
        <v>23</v>
      </c>
    </row>
    <row r="43" spans="1:32" s="1294" customFormat="1" ht="35.65" customHeight="1">
      <c r="A43" s="918"/>
      <c r="C43" s="1564" t="s">
        <v>586</v>
      </c>
      <c r="D43" s="1566"/>
      <c r="E43" s="1592" t="s">
        <v>110</v>
      </c>
      <c r="F43" s="645" t="s">
        <v>627</v>
      </c>
      <c r="G43" s="1574" t="s">
        <v>764</v>
      </c>
      <c r="H43" s="339"/>
      <c r="I43" s="339"/>
      <c r="J43" s="227" t="s">
        <v>765</v>
      </c>
      <c r="K43" s="481"/>
      <c r="L43" s="1564"/>
      <c r="M43" s="1564"/>
      <c r="R43" s="1564"/>
      <c r="U43" s="482"/>
      <c r="AA43" s="1560"/>
      <c r="AB43" s="1560"/>
      <c r="AC43" s="1560"/>
      <c r="AD43" s="1560"/>
      <c r="AE43" s="1560"/>
      <c r="AF43" s="1088">
        <v>34</v>
      </c>
    </row>
    <row r="44" spans="1:32" s="1294" customFormat="1" ht="35.65" customHeight="1">
      <c r="A44" s="918"/>
      <c r="C44" s="1564"/>
      <c r="D44" s="1566"/>
      <c r="E44" s="1592" t="s">
        <v>91</v>
      </c>
      <c r="F44" s="645" t="s">
        <v>766</v>
      </c>
      <c r="G44" s="1571" t="s">
        <v>767</v>
      </c>
      <c r="H44" s="483"/>
      <c r="I44" s="483"/>
      <c r="J44" s="227" t="s">
        <v>768</v>
      </c>
      <c r="K44" s="481"/>
      <c r="L44" s="1564"/>
      <c r="M44" s="1564"/>
      <c r="R44" s="1564"/>
      <c r="U44" s="482"/>
      <c r="AA44" s="1560"/>
      <c r="AB44" s="1560"/>
      <c r="AC44" s="1560"/>
      <c r="AD44" s="1560"/>
      <c r="AE44" s="1560"/>
      <c r="AF44" s="1088">
        <v>34</v>
      </c>
    </row>
    <row r="45" spans="1:32" s="1294" customFormat="1" ht="24" customHeight="1">
      <c r="A45" s="918"/>
      <c r="C45" s="1564"/>
      <c r="D45" s="1566"/>
      <c r="E45" s="1592" t="s">
        <v>92</v>
      </c>
      <c r="F45" s="645" t="s">
        <v>769</v>
      </c>
      <c r="G45" s="1582" t="s">
        <v>770</v>
      </c>
      <c r="H45" s="483"/>
      <c r="I45" s="483"/>
      <c r="J45" s="227" t="s">
        <v>771</v>
      </c>
      <c r="K45" s="481"/>
      <c r="L45" s="1564"/>
      <c r="M45" s="1564"/>
      <c r="R45" s="1564"/>
      <c r="U45" s="482"/>
      <c r="AA45" s="1560"/>
      <c r="AB45" s="1560"/>
      <c r="AC45" s="1560"/>
      <c r="AD45" s="1560"/>
      <c r="AE45" s="1560"/>
      <c r="AF45" s="1088">
        <v>23</v>
      </c>
    </row>
    <row r="46" spans="1:32" s="1294" customFormat="1" ht="19.899999999999999" customHeight="1">
      <c r="A46" s="918"/>
      <c r="C46" s="1564"/>
      <c r="D46" s="1566"/>
      <c r="E46" s="1592" t="s">
        <v>111</v>
      </c>
      <c r="F46" s="645" t="s">
        <v>772</v>
      </c>
      <c r="G46" s="1571" t="s">
        <v>588</v>
      </c>
      <c r="H46" s="515"/>
      <c r="I46" s="515"/>
      <c r="J46" s="227"/>
      <c r="K46" s="481"/>
      <c r="L46" s="1564"/>
      <c r="M46" s="1564"/>
      <c r="R46" s="1564"/>
      <c r="U46" s="482"/>
      <c r="AA46" s="1560"/>
      <c r="AB46" s="1560"/>
      <c r="AC46" s="1560"/>
      <c r="AD46" s="1560"/>
      <c r="AE46" s="1560"/>
      <c r="AF46" s="1088">
        <v>19</v>
      </c>
    </row>
    <row r="47" spans="1:32" ht="11.45" customHeight="1">
      <c r="D47" s="1566"/>
      <c r="AF47" s="155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5" customHeight="1">
      <c r="AF203" s="1559">
        <v>11</v>
      </c>
    </row>
    <row r="204" spans="1:32" ht="11.45" customHeight="1">
      <c r="AF204" s="1559">
        <v>11</v>
      </c>
    </row>
    <row r="205" spans="1:32" ht="11.45" customHeight="1">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4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4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4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4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4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4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4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81</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550</v>
      </c>
      <c r="H2" s="479"/>
      <c r="I2" s="479"/>
      <c r="J2" s="480" t="s">
        <v>553</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3.75" customHeight="1">
      <c r="E6" s="2175" t="s">
        <v>773</v>
      </c>
      <c r="F6" s="2175"/>
      <c r="G6" s="2175"/>
      <c r="H6" s="2175"/>
      <c r="I6" s="2175"/>
      <c r="J6" s="494"/>
      <c r="AF6" s="1559">
        <v>32</v>
      </c>
    </row>
    <row r="7" spans="1:32" ht="25.15" customHeight="1">
      <c r="E7" s="2147" t="str">
        <f>IF(org=0,"Не определено",org)</f>
        <v>ООО "Профит"</v>
      </c>
      <c r="F7" s="2147"/>
      <c r="G7" s="2147"/>
      <c r="H7" s="2147"/>
      <c r="I7" s="2147"/>
      <c r="AF7" s="1559">
        <v>24</v>
      </c>
    </row>
    <row r="8" spans="1:32" ht="11.45" customHeight="1">
      <c r="E8" s="1063"/>
      <c r="F8" s="1063"/>
      <c r="G8" s="1063"/>
      <c r="H8" s="1063"/>
      <c r="I8" s="1063"/>
      <c r="AF8" s="1559">
        <v>11</v>
      </c>
    </row>
    <row r="9" spans="1:32" s="1570" customFormat="1" ht="1.1499999999999999" customHeight="1">
      <c r="A9" s="1095"/>
      <c r="H9" s="820"/>
      <c r="I9" s="820" t="s">
        <v>116</v>
      </c>
      <c r="AF9" s="1564">
        <v>1</v>
      </c>
    </row>
    <row r="10" spans="1:32" ht="11.45" customHeight="1">
      <c r="E10" s="649"/>
      <c r="F10" s="2289" t="s">
        <v>104</v>
      </c>
      <c r="G10" s="2290"/>
      <c r="H10" s="1587" t="str">
        <f>IF(H9="","",INDEX(DIFFERENTIATION_UNMERGE_VD,MATCH(H9,DIFFERENTIATION_ID_DIFF,0)))</f>
        <v/>
      </c>
      <c r="I10" s="1587" t="str">
        <f>IF(I9="","",INDEX(DIFFERENTIATION_UNMERGE_VD,MATCH(I9,DIFFERENTIATION_ID_DIFF,0)))</f>
        <v>Транспортировка. Питьевая вода</v>
      </c>
      <c r="J10" s="2066"/>
      <c r="AF10" s="1559">
        <v>11</v>
      </c>
    </row>
    <row r="11" spans="1:32" ht="11.45" customHeight="1">
      <c r="E11" s="649"/>
      <c r="F11" s="2289" t="s">
        <v>562</v>
      </c>
      <c r="G11" s="2290"/>
      <c r="H11" s="1587" t="str">
        <f>IF(H9="","",INDEX(DIFFERENTIATION_UNMERGE_AREA,MATCH(H9,DIFFERENTIATION_ID_DIFF,0)))</f>
        <v/>
      </c>
      <c r="I11" s="1587" t="str">
        <f>IF(I9="","",INDEX(DIFFERENTIATION_UNMERGE_AREA,MATCH(I9,DIFFERENTIATION_ID_DIFF,0)))</f>
        <v>Территория 1</v>
      </c>
      <c r="J11" s="2066"/>
      <c r="AF11" s="1559">
        <v>11</v>
      </c>
    </row>
    <row r="12" spans="1:32" ht="11.25" hidden="1" customHeight="1">
      <c r="E12" s="1590"/>
      <c r="F12" s="2297" t="s">
        <v>563</v>
      </c>
      <c r="G12" s="2298"/>
      <c r="H12" s="1591" t="str">
        <f>IF(H9="","",INDEX(DIFFERENTIATION_UNMERGE_SYSTEM,MATCH(H9,DIFFERENTIATION_ID_DIFF,0)))</f>
        <v/>
      </c>
      <c r="I12" s="1591" t="str">
        <f>IF(I9="","",INDEX(DIFFERENTIATION_UNMERGE_SYSTEM,MATCH(I9,DIFFERENTIATION_ID_DIFF,0)))</f>
        <v>без дифференциации</v>
      </c>
      <c r="J12" s="2066"/>
      <c r="AF12" s="1559">
        <v>0</v>
      </c>
    </row>
    <row r="13" spans="1:32" ht="11.45" customHeight="1">
      <c r="E13" s="2291" t="s">
        <v>298</v>
      </c>
      <c r="F13" s="2292"/>
      <c r="G13" s="2292"/>
      <c r="H13" s="1584"/>
      <c r="I13" s="1584"/>
      <c r="J13" s="2066"/>
      <c r="AF13" s="1559">
        <v>11</v>
      </c>
    </row>
    <row r="14" spans="1:32" ht="24" customHeight="1">
      <c r="E14" s="1585" t="s">
        <v>87</v>
      </c>
      <c r="F14" s="1588" t="s">
        <v>300</v>
      </c>
      <c r="G14" s="1588" t="s">
        <v>564</v>
      </c>
      <c r="H14" s="1588" t="s">
        <v>301</v>
      </c>
      <c r="I14" s="1588" t="s">
        <v>301</v>
      </c>
      <c r="J14" s="2066"/>
      <c r="AF14" s="1559">
        <v>23</v>
      </c>
    </row>
    <row r="15" spans="1:32" ht="19.899999999999999" customHeight="1">
      <c r="D15" s="1566"/>
      <c r="E15" s="1558" t="s">
        <v>108</v>
      </c>
      <c r="F15" s="645" t="s">
        <v>774</v>
      </c>
      <c r="G15" s="1585" t="s">
        <v>550</v>
      </c>
      <c r="H15" s="495"/>
      <c r="I15" s="495"/>
      <c r="J15" s="227" t="s">
        <v>775</v>
      </c>
      <c r="K15" s="481" t="s">
        <v>628</v>
      </c>
      <c r="AF15" s="1559">
        <v>19</v>
      </c>
    </row>
    <row r="16" spans="1:32" ht="24" customHeight="1">
      <c r="D16" s="1566"/>
      <c r="E16" s="1558" t="s">
        <v>109</v>
      </c>
      <c r="F16" s="1593" t="s">
        <v>776</v>
      </c>
      <c r="G16" s="1585" t="s">
        <v>550</v>
      </c>
      <c r="H16" s="496">
        <f>SUM(H17,H20:H27)</f>
        <v>0</v>
      </c>
      <c r="I16" s="496">
        <f>SUM(I17,I20:I27)</f>
        <v>0</v>
      </c>
      <c r="J16" s="227" t="s">
        <v>777</v>
      </c>
      <c r="K16" s="481" t="s">
        <v>628</v>
      </c>
      <c r="AF16" s="1559">
        <v>23</v>
      </c>
    </row>
    <row r="17" spans="1:32" ht="35.65" customHeight="1">
      <c r="D17" s="1566"/>
      <c r="E17" s="1592" t="s">
        <v>707</v>
      </c>
      <c r="F17" s="1595" t="s">
        <v>778</v>
      </c>
      <c r="G17" s="1582" t="s">
        <v>550</v>
      </c>
      <c r="H17" s="495"/>
      <c r="I17" s="495"/>
      <c r="J17" s="227" t="s">
        <v>779</v>
      </c>
      <c r="K17" s="481"/>
      <c r="AF17" s="1559">
        <v>34</v>
      </c>
    </row>
    <row r="18" spans="1:32" ht="19.899999999999999" customHeight="1">
      <c r="D18" s="1566"/>
      <c r="E18" s="1592" t="s">
        <v>710</v>
      </c>
      <c r="F18" s="1596" t="s">
        <v>780</v>
      </c>
      <c r="G18" s="1582" t="s">
        <v>550</v>
      </c>
      <c r="H18" s="495"/>
      <c r="I18" s="495"/>
      <c r="J18" s="227"/>
      <c r="K18" s="481"/>
      <c r="AF18" s="1559">
        <v>19</v>
      </c>
    </row>
    <row r="19" spans="1:32" ht="24" customHeight="1">
      <c r="D19" s="1566"/>
      <c r="E19" s="1592" t="s">
        <v>713</v>
      </c>
      <c r="F19" s="1596" t="s">
        <v>781</v>
      </c>
      <c r="G19" s="1582" t="s">
        <v>550</v>
      </c>
      <c r="H19" s="495"/>
      <c r="I19" s="495"/>
      <c r="J19" s="227"/>
      <c r="K19" s="481"/>
      <c r="AF19" s="1559">
        <v>23</v>
      </c>
    </row>
    <row r="20" spans="1:32" ht="35.65" customHeight="1">
      <c r="D20" s="1566"/>
      <c r="E20" s="1592" t="s">
        <v>305</v>
      </c>
      <c r="F20" s="1595" t="s">
        <v>782</v>
      </c>
      <c r="G20" s="1582" t="s">
        <v>550</v>
      </c>
      <c r="H20" s="495"/>
      <c r="I20" s="495"/>
      <c r="J20" s="227"/>
      <c r="K20" s="481"/>
      <c r="AF20" s="1559">
        <v>34</v>
      </c>
    </row>
    <row r="21" spans="1:32" ht="48.2" customHeight="1">
      <c r="D21" s="1566"/>
      <c r="E21" s="1592" t="s">
        <v>308</v>
      </c>
      <c r="F21" s="1595" t="s">
        <v>783</v>
      </c>
      <c r="G21" s="1582" t="s">
        <v>550</v>
      </c>
      <c r="H21" s="495"/>
      <c r="I21" s="495"/>
      <c r="J21" s="227"/>
      <c r="K21" s="481"/>
      <c r="AF21" s="1559">
        <v>46</v>
      </c>
    </row>
    <row r="22" spans="1:32" ht="60" customHeight="1">
      <c r="D22" s="1566"/>
      <c r="E22" s="1592" t="s">
        <v>727</v>
      </c>
      <c r="F22" s="1595" t="s">
        <v>784</v>
      </c>
      <c r="G22" s="1582" t="s">
        <v>550</v>
      </c>
      <c r="H22" s="495"/>
      <c r="I22" s="495"/>
      <c r="J22" s="227"/>
      <c r="K22" s="481"/>
      <c r="AF22" s="1559">
        <v>57</v>
      </c>
    </row>
    <row r="23" spans="1:32" ht="35.65" customHeight="1">
      <c r="D23" s="1566"/>
      <c r="E23" s="1592" t="s">
        <v>734</v>
      </c>
      <c r="F23" s="1595" t="s">
        <v>785</v>
      </c>
      <c r="G23" s="1582" t="s">
        <v>550</v>
      </c>
      <c r="H23" s="495"/>
      <c r="I23" s="495"/>
      <c r="J23" s="227"/>
      <c r="K23" s="481"/>
      <c r="AF23" s="1559">
        <v>34</v>
      </c>
    </row>
    <row r="24" spans="1:32" ht="35.65" customHeight="1">
      <c r="D24" s="1566"/>
      <c r="E24" s="1592" t="s">
        <v>736</v>
      </c>
      <c r="F24" s="1595" t="s">
        <v>786</v>
      </c>
      <c r="G24" s="1582" t="s">
        <v>550</v>
      </c>
      <c r="H24" s="495"/>
      <c r="I24" s="495"/>
      <c r="J24" s="227"/>
      <c r="K24" s="481"/>
      <c r="AF24" s="1559">
        <v>34</v>
      </c>
    </row>
    <row r="25" spans="1:32" ht="24" customHeight="1">
      <c r="D25" s="1566"/>
      <c r="E25" s="1592" t="s">
        <v>738</v>
      </c>
      <c r="F25" s="1595" t="s">
        <v>787</v>
      </c>
      <c r="G25" s="1582" t="s">
        <v>550</v>
      </c>
      <c r="H25" s="495"/>
      <c r="I25" s="495"/>
      <c r="J25" s="227"/>
      <c r="K25" s="481"/>
      <c r="AF25" s="1559">
        <v>23</v>
      </c>
    </row>
    <row r="26" spans="1:32" ht="76.5" customHeight="1">
      <c r="D26" s="1566"/>
      <c r="E26" s="1592" t="s">
        <v>740</v>
      </c>
      <c r="F26" s="1595" t="s">
        <v>788</v>
      </c>
      <c r="G26" s="1582" t="s">
        <v>550</v>
      </c>
      <c r="H26" s="495"/>
      <c r="I26" s="495"/>
      <c r="J26" s="227"/>
      <c r="K26" s="481"/>
      <c r="AF26" s="1559">
        <v>73</v>
      </c>
    </row>
    <row r="27" spans="1:32" s="1294" customFormat="1" ht="35.65" customHeight="1">
      <c r="A27" s="918"/>
      <c r="C27" s="1564"/>
      <c r="D27" s="1566"/>
      <c r="E27" s="1557" t="s">
        <v>744</v>
      </c>
      <c r="F27" s="1556" t="s">
        <v>789</v>
      </c>
      <c r="G27" s="1583" t="s">
        <v>550</v>
      </c>
      <c r="H27" s="517">
        <f>SUM(H28:H29)</f>
        <v>0</v>
      </c>
      <c r="I27" s="517">
        <f>SUM(I28:I29)</f>
        <v>0</v>
      </c>
      <c r="J27" s="227" t="s">
        <v>742</v>
      </c>
      <c r="K27" s="481"/>
      <c r="L27" s="1564"/>
      <c r="M27" s="1564"/>
      <c r="R27" s="1564"/>
      <c r="U27" s="482"/>
      <c r="AA27" s="1560"/>
      <c r="AB27" s="1560"/>
      <c r="AC27" s="1560"/>
      <c r="AD27" s="1560"/>
      <c r="AE27" s="1560"/>
      <c r="AF27" s="1088">
        <v>34</v>
      </c>
    </row>
    <row r="28" spans="1:32" s="1570" customFormat="1" ht="1.1499999999999999" customHeight="1">
      <c r="A28" s="1095"/>
      <c r="D28" s="486"/>
      <c r="E28" s="734" t="str">
        <f>E27&amp;".0"</f>
        <v>2.9.0</v>
      </c>
      <c r="F28" s="922"/>
      <c r="G28" s="489"/>
      <c r="H28" s="923"/>
      <c r="I28" s="923"/>
      <c r="J28" s="924"/>
      <c r="AF28" s="1564">
        <v>1</v>
      </c>
    </row>
    <row r="29" spans="1:32" s="1294" customFormat="1" ht="19.899999999999999" customHeight="1">
      <c r="A29" s="918"/>
      <c r="C29" s="1564"/>
      <c r="D29" s="1561"/>
      <c r="E29" s="508"/>
      <c r="F29" s="1594" t="s">
        <v>575</v>
      </c>
      <c r="G29" s="510"/>
      <c r="H29" s="511"/>
      <c r="I29" s="511"/>
      <c r="J29" s="239" t="s">
        <v>743</v>
      </c>
      <c r="K29" s="481"/>
      <c r="L29" s="1564"/>
      <c r="M29" s="1564"/>
      <c r="R29" s="1564"/>
      <c r="U29" s="482"/>
      <c r="AA29" s="1560"/>
      <c r="AB29" s="1560"/>
      <c r="AC29" s="1560"/>
      <c r="AD29" s="1560"/>
      <c r="AE29" s="1560"/>
      <c r="AF29" s="1088">
        <v>19</v>
      </c>
    </row>
    <row r="30" spans="1:32" s="1294" customFormat="1" ht="24" customHeight="1">
      <c r="A30" s="918"/>
      <c r="C30" s="1564"/>
      <c r="D30" s="1566"/>
      <c r="E30" s="1592" t="s">
        <v>89</v>
      </c>
      <c r="F30" s="1589" t="s">
        <v>790</v>
      </c>
      <c r="G30" s="1582" t="s">
        <v>550</v>
      </c>
      <c r="H30" s="495"/>
      <c r="I30" s="495"/>
      <c r="J30" s="227"/>
      <c r="K30" s="481"/>
      <c r="L30" s="1564"/>
      <c r="M30" s="1564"/>
      <c r="R30" s="1564"/>
      <c r="U30" s="482"/>
      <c r="AA30" s="1560"/>
      <c r="AB30" s="1560"/>
      <c r="AC30" s="1560"/>
      <c r="AD30" s="1560"/>
      <c r="AE30" s="1560"/>
      <c r="AF30" s="1088">
        <v>23</v>
      </c>
    </row>
    <row r="31" spans="1:32" s="1294" customFormat="1" ht="35.65" customHeight="1">
      <c r="A31" s="918"/>
      <c r="C31" s="1564"/>
      <c r="D31" s="513"/>
      <c r="E31" s="1592" t="s">
        <v>90</v>
      </c>
      <c r="F31" s="1589" t="s">
        <v>791</v>
      </c>
      <c r="G31" s="1582" t="s">
        <v>550</v>
      </c>
      <c r="H31" s="495"/>
      <c r="I31" s="495"/>
      <c r="J31" s="227" t="s">
        <v>792</v>
      </c>
      <c r="K31" s="481"/>
      <c r="L31" s="1564"/>
      <c r="M31" s="1564"/>
      <c r="R31" s="1564"/>
      <c r="U31" s="482"/>
      <c r="AA31" s="1560"/>
      <c r="AB31" s="1560"/>
      <c r="AC31" s="1560"/>
      <c r="AD31" s="1560"/>
      <c r="AE31" s="1560"/>
      <c r="AF31" s="1088">
        <v>34</v>
      </c>
    </row>
    <row r="32" spans="1:32" s="1294" customFormat="1" ht="24" customHeight="1">
      <c r="A32" s="918"/>
      <c r="C32" s="1564"/>
      <c r="D32" s="1566"/>
      <c r="E32" s="1592" t="s">
        <v>752</v>
      </c>
      <c r="F32" s="628" t="s">
        <v>756</v>
      </c>
      <c r="G32" s="1582" t="s">
        <v>550</v>
      </c>
      <c r="H32" s="495"/>
      <c r="I32" s="495"/>
      <c r="J32" s="227" t="s">
        <v>793</v>
      </c>
      <c r="K32" s="481"/>
      <c r="L32" s="1564"/>
      <c r="M32" s="1564"/>
      <c r="R32" s="1564"/>
      <c r="U32" s="482"/>
      <c r="AA32" s="1560"/>
      <c r="AB32" s="1560"/>
      <c r="AC32" s="1560"/>
      <c r="AD32" s="1560"/>
      <c r="AE32" s="1560"/>
      <c r="AF32" s="1088">
        <v>23</v>
      </c>
    </row>
    <row r="33" spans="1:32" s="1294" customFormat="1" ht="24" customHeight="1">
      <c r="A33" s="918"/>
      <c r="C33" s="1564"/>
      <c r="D33" s="1566"/>
      <c r="E33" s="1592" t="s">
        <v>794</v>
      </c>
      <c r="F33" s="628" t="s">
        <v>795</v>
      </c>
      <c r="G33" s="1582" t="s">
        <v>550</v>
      </c>
      <c r="H33" s="495"/>
      <c r="I33" s="495"/>
      <c r="J33" s="227" t="s">
        <v>796</v>
      </c>
      <c r="K33" s="481"/>
      <c r="L33" s="1564"/>
      <c r="M33" s="1564"/>
      <c r="R33" s="1564"/>
      <c r="U33" s="482"/>
      <c r="AA33" s="1560"/>
      <c r="AB33" s="1560"/>
      <c r="AC33" s="1560"/>
      <c r="AD33" s="1560"/>
      <c r="AE33" s="1560"/>
      <c r="AF33" s="1088">
        <v>23</v>
      </c>
    </row>
    <row r="34" spans="1:32" s="1294" customFormat="1" ht="24" customHeight="1">
      <c r="A34" s="918"/>
      <c r="C34" s="1564"/>
      <c r="D34" s="1566"/>
      <c r="E34" s="1592" t="s">
        <v>797</v>
      </c>
      <c r="F34" s="628" t="s">
        <v>762</v>
      </c>
      <c r="G34" s="1582" t="s">
        <v>550</v>
      </c>
      <c r="H34" s="495"/>
      <c r="I34" s="495"/>
      <c r="J34" s="227" t="s">
        <v>798</v>
      </c>
      <c r="K34" s="481"/>
      <c r="L34" s="1564"/>
      <c r="M34" s="1564"/>
      <c r="R34" s="1564"/>
      <c r="U34" s="482"/>
      <c r="AA34" s="1560"/>
      <c r="AB34" s="1560"/>
      <c r="AC34" s="1560"/>
      <c r="AD34" s="1560"/>
      <c r="AE34" s="1560"/>
      <c r="AF34" s="1088">
        <v>23</v>
      </c>
    </row>
    <row r="35" spans="1:32" s="1294" customFormat="1" ht="35.65" customHeight="1">
      <c r="A35" s="918"/>
      <c r="C35" s="1564" t="s">
        <v>586</v>
      </c>
      <c r="D35" s="1566"/>
      <c r="E35" s="1592" t="s">
        <v>110</v>
      </c>
      <c r="F35" s="1589" t="s">
        <v>627</v>
      </c>
      <c r="G35" s="1585" t="s">
        <v>304</v>
      </c>
      <c r="H35" s="339"/>
      <c r="I35" s="339"/>
      <c r="J35" s="227" t="s">
        <v>799</v>
      </c>
      <c r="K35" s="481"/>
      <c r="L35" s="1564"/>
      <c r="M35" s="1564"/>
      <c r="R35" s="1564"/>
      <c r="U35" s="482"/>
      <c r="AA35" s="1560"/>
      <c r="AB35" s="1560"/>
      <c r="AC35" s="1560"/>
      <c r="AD35" s="1560"/>
      <c r="AE35" s="1560"/>
      <c r="AF35" s="1088">
        <v>34</v>
      </c>
    </row>
    <row r="36" spans="1:32" s="1294" customFormat="1" ht="35.65" customHeight="1">
      <c r="A36" s="918"/>
      <c r="C36" s="1564"/>
      <c r="D36" s="1566"/>
      <c r="E36" s="1592" t="s">
        <v>91</v>
      </c>
      <c r="F36" s="1589" t="s">
        <v>800</v>
      </c>
      <c r="G36" s="1582" t="s">
        <v>767</v>
      </c>
      <c r="H36" s="483"/>
      <c r="I36" s="483"/>
      <c r="J36" s="227" t="s">
        <v>768</v>
      </c>
      <c r="K36" s="481"/>
      <c r="L36" s="1564"/>
      <c r="M36" s="1564"/>
      <c r="R36" s="1564"/>
      <c r="U36" s="482"/>
      <c r="AA36" s="1560"/>
      <c r="AB36" s="1560"/>
      <c r="AC36" s="1560"/>
      <c r="AD36" s="1560"/>
      <c r="AE36" s="1560"/>
      <c r="AF36" s="1088">
        <v>34</v>
      </c>
    </row>
    <row r="37" spans="1:32" s="1294" customFormat="1" ht="24" customHeight="1">
      <c r="A37" s="918"/>
      <c r="C37" s="1564"/>
      <c r="D37" s="1566"/>
      <c r="E37" s="1592" t="s">
        <v>92</v>
      </c>
      <c r="F37" s="1589" t="s">
        <v>801</v>
      </c>
      <c r="G37" s="1582" t="s">
        <v>770</v>
      </c>
      <c r="H37" s="483"/>
      <c r="I37" s="483"/>
      <c r="J37" s="227" t="s">
        <v>771</v>
      </c>
      <c r="K37" s="481"/>
      <c r="L37" s="1564"/>
      <c r="M37" s="1564"/>
      <c r="R37" s="1564"/>
      <c r="U37" s="482"/>
      <c r="AA37" s="1560"/>
      <c r="AB37" s="1560"/>
      <c r="AC37" s="1560"/>
      <c r="AD37" s="1560"/>
      <c r="AE37" s="1560"/>
      <c r="AF37" s="1088">
        <v>23</v>
      </c>
    </row>
    <row r="38" spans="1:32" ht="11.45" customHeight="1">
      <c r="D38" s="1566"/>
      <c r="AF38" s="1559">
        <v>11</v>
      </c>
    </row>
    <row r="39" spans="1:32" ht="27.4" customHeight="1">
      <c r="D39" s="1566"/>
      <c r="E39" s="1181" t="s">
        <v>802</v>
      </c>
      <c r="F39" s="2193" t="s">
        <v>803</v>
      </c>
      <c r="G39" s="2193"/>
      <c r="H39" s="307"/>
      <c r="I39" s="307"/>
      <c r="J39" s="307"/>
      <c r="AF39" s="1559">
        <v>26</v>
      </c>
    </row>
    <row r="40" spans="1:32" s="1569" customFormat="1" ht="39.75" customHeight="1">
      <c r="A40" s="918"/>
      <c r="B40" s="1564"/>
      <c r="C40" s="1564"/>
      <c r="D40" s="289"/>
      <c r="F40" s="2193" t="s">
        <v>804</v>
      </c>
      <c r="G40" s="2193"/>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4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4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4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4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4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4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4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5" customHeight="1">
      <c r="AF196" s="1559">
        <v>11</v>
      </c>
    </row>
    <row r="197" spans="1:32" ht="11.45" customHeight="1">
      <c r="AF197" s="1559">
        <v>11</v>
      </c>
    </row>
    <row r="198" spans="1:32" ht="11.45" customHeight="1">
      <c r="AF198" s="1559">
        <v>11</v>
      </c>
    </row>
    <row r="199" spans="1:32" ht="11.4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4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4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4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4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4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4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81</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4" hidden="1" customWidth="1"/>
    <col min="2" max="2" width="3.57031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57031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05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60"/>
      <c r="F3" s="2061"/>
      <c r="X3" s="443">
        <v>75</v>
      </c>
    </row>
    <row r="4" spans="1:24" s="1563" customFormat="1" ht="21" customHeight="1">
      <c r="A4" s="882"/>
      <c r="B4" s="449"/>
      <c r="D4" s="2169" t="str">
        <f>IF(org=0,"Не определено",org)</f>
        <v>ООО "Профит"</v>
      </c>
      <c r="E4" s="2170"/>
      <c r="F4" s="2171"/>
      <c r="X4" s="694">
        <v>20</v>
      </c>
    </row>
    <row r="5" spans="1:24" ht="11.45" customHeight="1">
      <c r="C5" s="447"/>
      <c r="D5" s="526"/>
      <c r="E5" s="526"/>
      <c r="F5" s="526"/>
      <c r="G5" s="526"/>
      <c r="H5" s="690"/>
      <c r="I5" s="526"/>
      <c r="J5" s="690"/>
      <c r="K5" s="526"/>
      <c r="X5" s="443">
        <v>11</v>
      </c>
    </row>
    <row r="6" spans="1:24" ht="1.1499999999999999" customHeight="1">
      <c r="C6" s="447"/>
      <c r="D6" s="447"/>
      <c r="E6" s="460"/>
      <c r="F6" s="552"/>
      <c r="G6" s="953"/>
      <c r="H6" s="953"/>
      <c r="I6" s="953" t="s">
        <v>116</v>
      </c>
      <c r="J6" s="953"/>
      <c r="X6" s="443">
        <v>1</v>
      </c>
    </row>
    <row r="7" spans="1:24" ht="11.45" customHeight="1">
      <c r="D7" s="649"/>
      <c r="E7" s="2289" t="s">
        <v>104</v>
      </c>
      <c r="F7" s="2290"/>
      <c r="G7" s="2299" t="str">
        <f>IF(G6="","",INDEX(DIFFERENTIATION_UNMERGE_VD,MATCH(G6,DIFFERENTIATION_ID_DIFF,0)))</f>
        <v/>
      </c>
      <c r="H7" s="2300"/>
      <c r="I7" s="2299" t="str">
        <f>IF(I6="","",INDEX(DIFFERENTIATION_UNMERGE_VD,MATCH(I6,DIFFERENTIATION_ID_DIFF,0)))</f>
        <v>Транспортировка. Питьевая вода</v>
      </c>
      <c r="J7" s="2300"/>
      <c r="K7" s="2125"/>
      <c r="L7" s="447"/>
      <c r="X7" s="443">
        <v>11</v>
      </c>
    </row>
    <row r="8" spans="1:24" ht="11.45" customHeight="1">
      <c r="A8" s="642"/>
      <c r="D8" s="649"/>
      <c r="E8" s="2289" t="s">
        <v>562</v>
      </c>
      <c r="F8" s="2290"/>
      <c r="G8" s="2299" t="str">
        <f>IF(G6="","",INDEX(DIFFERENTIATION_UNMERGE_AREA,MATCH(G6,DIFFERENTIATION_ID_DIFF,0)))</f>
        <v/>
      </c>
      <c r="H8" s="2300"/>
      <c r="I8" s="2299" t="str">
        <f>IF(I6="","",INDEX(DIFFERENTIATION_UNMERGE_AREA,MATCH(I6,DIFFERENTIATION_ID_DIFF,0)))</f>
        <v>Территория 1</v>
      </c>
      <c r="J8" s="2300"/>
      <c r="K8" s="2130"/>
      <c r="L8" s="447"/>
      <c r="X8" s="443">
        <v>11</v>
      </c>
    </row>
    <row r="9" spans="1:24" ht="11.45" customHeight="1">
      <c r="A9" s="642"/>
      <c r="D9" s="649"/>
      <c r="E9" s="2289" t="s">
        <v>563</v>
      </c>
      <c r="F9" s="2290"/>
      <c r="G9" s="2299" t="str">
        <f>IF(G6="","",INDEX(DIFFERENTIATION_UNMERGE_SYSTEM,MATCH(G6,DIFFERENTIATION_ID_DIFF,0)))</f>
        <v/>
      </c>
      <c r="H9" s="2300"/>
      <c r="I9" s="2299" t="str">
        <f>IF(I6="","",INDEX(DIFFERENTIATION_UNMERGE_SYSTEM,MATCH(I6,DIFFERENTIATION_ID_DIFF,0)))</f>
        <v>без дифференциации</v>
      </c>
      <c r="J9" s="2300"/>
      <c r="K9" s="2130"/>
      <c r="L9" s="447"/>
      <c r="X9" s="443">
        <v>11</v>
      </c>
    </row>
    <row r="10" spans="1:24" s="1563" customFormat="1" ht="11.45" customHeight="1">
      <c r="A10" s="952"/>
      <c r="B10" s="449"/>
      <c r="D10" s="2048" t="s">
        <v>298</v>
      </c>
      <c r="E10" s="2053"/>
      <c r="F10" s="2053"/>
      <c r="G10" s="2053"/>
      <c r="H10" s="2053"/>
      <c r="I10" s="2053"/>
      <c r="J10" s="2047"/>
      <c r="K10" s="2130"/>
      <c r="L10" s="447"/>
      <c r="X10" s="694">
        <v>11</v>
      </c>
    </row>
    <row r="11" spans="1:24" s="1563" customFormat="1" ht="24" customHeight="1">
      <c r="A11" s="2193"/>
      <c r="B11" s="2193"/>
      <c r="C11" s="595"/>
      <c r="D11" s="641" t="s">
        <v>87</v>
      </c>
      <c r="E11" s="643" t="s">
        <v>805</v>
      </c>
      <c r="F11" s="643" t="s">
        <v>564</v>
      </c>
      <c r="G11" s="403" t="s">
        <v>301</v>
      </c>
      <c r="H11" s="403" t="s">
        <v>388</v>
      </c>
      <c r="I11" s="739" t="s">
        <v>301</v>
      </c>
      <c r="J11" s="740" t="s">
        <v>388</v>
      </c>
      <c r="K11" s="2180"/>
      <c r="L11" s="596"/>
      <c r="X11" s="447">
        <v>23</v>
      </c>
    </row>
    <row r="12" spans="1:24" s="1570" customFormat="1" ht="10.5" customHeight="1">
      <c r="A12" s="883"/>
      <c r="D12" s="956" t="s">
        <v>108</v>
      </c>
      <c r="E12" s="956" t="s">
        <v>109</v>
      </c>
      <c r="F12" s="956" t="s">
        <v>89</v>
      </c>
      <c r="G12" s="957" t="str">
        <f>G1&amp;".1"</f>
        <v>4.1</v>
      </c>
      <c r="H12" s="957" t="str">
        <f>G1&amp;".2"</f>
        <v>4.2</v>
      </c>
      <c r="I12" s="957" t="str">
        <f>I1&amp;".1"</f>
        <v>4.1</v>
      </c>
      <c r="J12" s="957" t="str">
        <f>I1&amp;".2"</f>
        <v>4.2</v>
      </c>
      <c r="K12" s="957"/>
      <c r="X12" s="449">
        <v>10</v>
      </c>
    </row>
    <row r="13" spans="1:24" ht="22.5" hidden="1" customHeight="1">
      <c r="A13" s="2301" t="s">
        <v>806</v>
      </c>
      <c r="D13" s="884" t="s">
        <v>108</v>
      </c>
      <c r="E13" s="217" t="s">
        <v>807</v>
      </c>
      <c r="F13" s="598" t="s">
        <v>808</v>
      </c>
      <c r="G13" s="495"/>
      <c r="H13" s="599"/>
      <c r="I13" s="495"/>
      <c r="J13" s="599"/>
      <c r="K13" s="227" t="s">
        <v>809</v>
      </c>
      <c r="L13" s="658"/>
      <c r="X13" s="443">
        <v>0</v>
      </c>
    </row>
    <row r="14" spans="1:24" ht="22.5" hidden="1" customHeight="1">
      <c r="A14" s="2301"/>
      <c r="D14" s="477" t="s">
        <v>109</v>
      </c>
      <c r="E14" s="217" t="s">
        <v>810</v>
      </c>
      <c r="F14" s="598" t="s">
        <v>811</v>
      </c>
      <c r="G14" s="495"/>
      <c r="H14" s="600"/>
      <c r="I14" s="495"/>
      <c r="J14" s="600"/>
      <c r="K14" s="227" t="s">
        <v>812</v>
      </c>
      <c r="L14" s="658"/>
      <c r="X14" s="443">
        <v>0</v>
      </c>
    </row>
    <row r="15" spans="1:24" s="1563" customFormat="1" ht="78.75" hidden="1" customHeight="1">
      <c r="A15" s="2301"/>
      <c r="B15" s="449"/>
      <c r="D15" s="884" t="s">
        <v>89</v>
      </c>
      <c r="E15" s="645" t="s">
        <v>813</v>
      </c>
      <c r="F15" s="881" t="s">
        <v>304</v>
      </c>
      <c r="G15" s="881" t="s">
        <v>304</v>
      </c>
      <c r="H15" s="46"/>
      <c r="I15" s="881" t="s">
        <v>304</v>
      </c>
      <c r="J15" s="46"/>
      <c r="K15" s="227" t="s">
        <v>814</v>
      </c>
      <c r="L15" s="658"/>
      <c r="X15" s="694">
        <v>0</v>
      </c>
    </row>
    <row r="16" spans="1:24" s="1563" customFormat="1" ht="22.5" hidden="1" customHeight="1">
      <c r="A16" s="2301"/>
      <c r="B16" s="449"/>
      <c r="D16" s="884" t="s">
        <v>322</v>
      </c>
      <c r="E16" s="885" t="s">
        <v>815</v>
      </c>
      <c r="F16" s="881" t="s">
        <v>816</v>
      </c>
      <c r="G16" s="749"/>
      <c r="H16" s="46"/>
      <c r="I16" s="749"/>
      <c r="J16" s="46"/>
      <c r="K16" s="227"/>
      <c r="L16" s="658"/>
      <c r="X16" s="694">
        <v>0</v>
      </c>
    </row>
    <row r="17" spans="1:24" s="1563" customFormat="1" ht="22.5" hidden="1" customHeight="1">
      <c r="A17" s="2301"/>
      <c r="B17" s="449"/>
      <c r="D17" s="884" t="s">
        <v>330</v>
      </c>
      <c r="E17" s="885" t="s">
        <v>817</v>
      </c>
      <c r="F17" s="881" t="s">
        <v>818</v>
      </c>
      <c r="G17" s="749"/>
      <c r="H17" s="46"/>
      <c r="I17" s="749"/>
      <c r="J17" s="46"/>
      <c r="K17" s="227"/>
      <c r="L17" s="658"/>
      <c r="X17" s="694">
        <v>0</v>
      </c>
    </row>
    <row r="18" spans="1:24" s="1563" customFormat="1" ht="33.75" hidden="1" customHeight="1">
      <c r="A18" s="2301"/>
      <c r="B18" s="449"/>
      <c r="D18" s="884" t="s">
        <v>332</v>
      </c>
      <c r="E18" s="885" t="s">
        <v>819</v>
      </c>
      <c r="F18" s="881" t="s">
        <v>569</v>
      </c>
      <c r="G18" s="618"/>
      <c r="H18" s="46"/>
      <c r="I18" s="618"/>
      <c r="J18" s="46"/>
      <c r="K18" s="227"/>
      <c r="L18" s="658"/>
      <c r="X18" s="694">
        <v>0</v>
      </c>
    </row>
    <row r="19" spans="1:24" ht="101.25" hidden="1" customHeight="1">
      <c r="A19" s="2301"/>
      <c r="D19" s="884" t="s">
        <v>90</v>
      </c>
      <c r="E19" s="217" t="s">
        <v>820</v>
      </c>
      <c r="F19" s="598" t="s">
        <v>544</v>
      </c>
      <c r="G19" s="601"/>
      <c r="H19" s="600"/>
      <c r="I19" s="886"/>
      <c r="J19" s="600"/>
      <c r="K19" s="227" t="s">
        <v>821</v>
      </c>
      <c r="L19" s="658"/>
      <c r="X19" s="443">
        <v>0</v>
      </c>
    </row>
    <row r="20" spans="1:24" s="1563" customFormat="1" ht="18.75" hidden="1" customHeight="1">
      <c r="A20" s="2301"/>
      <c r="C20" s="887"/>
      <c r="D20" s="884" t="s">
        <v>752</v>
      </c>
      <c r="E20" s="885" t="s">
        <v>822</v>
      </c>
      <c r="F20" s="881" t="s">
        <v>304</v>
      </c>
      <c r="G20" s="881" t="s">
        <v>304</v>
      </c>
      <c r="H20" s="880" t="s">
        <v>304</v>
      </c>
      <c r="I20" s="881" t="s">
        <v>304</v>
      </c>
      <c r="J20" s="880" t="s">
        <v>304</v>
      </c>
      <c r="K20" s="879"/>
      <c r="L20" s="658"/>
      <c r="W20" s="613"/>
      <c r="X20" s="694">
        <v>0</v>
      </c>
    </row>
    <row r="21" spans="1:24" s="1563" customFormat="1" ht="33.75" hidden="1" customHeight="1">
      <c r="A21" s="2301"/>
      <c r="C21" s="887"/>
      <c r="D21" s="884" t="s">
        <v>755</v>
      </c>
      <c r="E21" s="514" t="s">
        <v>823</v>
      </c>
      <c r="F21" s="881" t="s">
        <v>824</v>
      </c>
      <c r="G21" s="618"/>
      <c r="H21" s="46"/>
      <c r="I21" s="618"/>
      <c r="J21" s="46"/>
      <c r="K21" s="879"/>
      <c r="L21" s="658"/>
      <c r="W21" s="613"/>
      <c r="X21" s="694">
        <v>0</v>
      </c>
    </row>
    <row r="22" spans="1:24" s="1563" customFormat="1" ht="33.75" hidden="1" customHeight="1">
      <c r="A22" s="2301"/>
      <c r="C22" s="887"/>
      <c r="D22" s="884" t="s">
        <v>758</v>
      </c>
      <c r="E22" s="514" t="s">
        <v>825</v>
      </c>
      <c r="F22" s="881" t="s">
        <v>826</v>
      </c>
      <c r="G22" s="618"/>
      <c r="H22" s="46"/>
      <c r="I22" s="618"/>
      <c r="J22" s="46"/>
      <c r="K22" s="879"/>
      <c r="L22" s="658"/>
      <c r="W22" s="613"/>
      <c r="X22" s="694">
        <v>0</v>
      </c>
    </row>
    <row r="23" spans="1:24" s="1563" customFormat="1" ht="22.5" hidden="1" customHeight="1">
      <c r="A23" s="2301"/>
      <c r="C23" s="887"/>
      <c r="D23" s="884" t="s">
        <v>794</v>
      </c>
      <c r="E23" s="885" t="s">
        <v>827</v>
      </c>
      <c r="F23" s="881" t="s">
        <v>304</v>
      </c>
      <c r="G23" s="881" t="s">
        <v>304</v>
      </c>
      <c r="H23" s="880" t="s">
        <v>304</v>
      </c>
      <c r="I23" s="881" t="s">
        <v>304</v>
      </c>
      <c r="J23" s="880" t="s">
        <v>304</v>
      </c>
      <c r="K23" s="879"/>
      <c r="L23" s="658"/>
      <c r="W23" s="613"/>
      <c r="X23" s="694">
        <v>0</v>
      </c>
    </row>
    <row r="24" spans="1:24" s="1563" customFormat="1" ht="22.5" hidden="1" customHeight="1">
      <c r="A24" s="2301"/>
      <c r="C24" s="887"/>
      <c r="D24" s="884" t="s">
        <v>828</v>
      </c>
      <c r="E24" s="514" t="s">
        <v>829</v>
      </c>
      <c r="F24" s="881" t="s">
        <v>830</v>
      </c>
      <c r="G24" s="618"/>
      <c r="H24" s="624"/>
      <c r="I24" s="618"/>
      <c r="J24" s="624"/>
      <c r="K24" s="879"/>
      <c r="L24" s="658"/>
      <c r="W24" s="613"/>
      <c r="X24" s="694">
        <v>0</v>
      </c>
    </row>
    <row r="25" spans="1:24" s="1563" customFormat="1" ht="22.5" hidden="1" customHeight="1">
      <c r="A25" s="2301"/>
      <c r="C25" s="887"/>
      <c r="D25" s="884" t="s">
        <v>831</v>
      </c>
      <c r="E25" s="514" t="s">
        <v>832</v>
      </c>
      <c r="F25" s="881" t="s">
        <v>304</v>
      </c>
      <c r="G25" s="881" t="s">
        <v>304</v>
      </c>
      <c r="H25" s="880" t="s">
        <v>304</v>
      </c>
      <c r="I25" s="881" t="s">
        <v>304</v>
      </c>
      <c r="J25" s="880" t="s">
        <v>304</v>
      </c>
      <c r="K25" s="879"/>
      <c r="L25" s="658"/>
      <c r="W25" s="613"/>
      <c r="X25" s="694">
        <v>0</v>
      </c>
    </row>
    <row r="26" spans="1:24" s="1563" customFormat="1" ht="18.75" hidden="1" customHeight="1">
      <c r="A26" s="2301"/>
      <c r="C26" s="887"/>
      <c r="D26" s="884" t="s">
        <v>833</v>
      </c>
      <c r="E26" s="491" t="s">
        <v>834</v>
      </c>
      <c r="F26" s="881" t="s">
        <v>835</v>
      </c>
      <c r="G26" s="618"/>
      <c r="H26" s="624"/>
      <c r="I26" s="618"/>
      <c r="J26" s="624"/>
      <c r="K26" s="879"/>
      <c r="L26" s="658"/>
      <c r="W26" s="613"/>
      <c r="X26" s="694">
        <v>0</v>
      </c>
    </row>
    <row r="27" spans="1:24" s="1563" customFormat="1" ht="18.75" hidden="1" customHeight="1">
      <c r="A27" s="2301"/>
      <c r="C27" s="887"/>
      <c r="D27" s="884" t="s">
        <v>836</v>
      </c>
      <c r="E27" s="491" t="s">
        <v>837</v>
      </c>
      <c r="F27" s="881" t="s">
        <v>838</v>
      </c>
      <c r="G27" s="618"/>
      <c r="H27" s="624"/>
      <c r="I27" s="618"/>
      <c r="J27" s="624"/>
      <c r="K27" s="879"/>
      <c r="L27" s="658"/>
      <c r="W27" s="613"/>
      <c r="X27" s="694">
        <v>0</v>
      </c>
    </row>
    <row r="28" spans="1:24" s="1563" customFormat="1" ht="18.75" hidden="1" customHeight="1">
      <c r="A28" s="2301"/>
      <c r="C28" s="887"/>
      <c r="D28" s="884" t="s">
        <v>839</v>
      </c>
      <c r="E28" s="514" t="s">
        <v>840</v>
      </c>
      <c r="F28" s="881" t="s">
        <v>304</v>
      </c>
      <c r="G28" s="881" t="s">
        <v>304</v>
      </c>
      <c r="H28" s="880" t="s">
        <v>304</v>
      </c>
      <c r="I28" s="881" t="s">
        <v>304</v>
      </c>
      <c r="J28" s="880" t="s">
        <v>304</v>
      </c>
      <c r="K28" s="879"/>
      <c r="L28" s="658"/>
      <c r="W28" s="613"/>
      <c r="X28" s="694">
        <v>0</v>
      </c>
    </row>
    <row r="29" spans="1:24" s="1563" customFormat="1" ht="18.75" hidden="1" customHeight="1">
      <c r="A29" s="2301"/>
      <c r="C29" s="887"/>
      <c r="D29" s="884" t="s">
        <v>841</v>
      </c>
      <c r="E29" s="491" t="s">
        <v>834</v>
      </c>
      <c r="F29" s="881" t="s">
        <v>842</v>
      </c>
      <c r="G29" s="618"/>
      <c r="H29" s="624"/>
      <c r="I29" s="618"/>
      <c r="J29" s="624"/>
      <c r="K29" s="879"/>
      <c r="L29" s="658"/>
      <c r="W29" s="613"/>
      <c r="X29" s="694">
        <v>0</v>
      </c>
    </row>
    <row r="30" spans="1:24" s="1563" customFormat="1" ht="18.75" hidden="1" customHeight="1">
      <c r="A30" s="2301"/>
      <c r="C30" s="887"/>
      <c r="D30" s="884" t="s">
        <v>843</v>
      </c>
      <c r="E30" s="491" t="s">
        <v>844</v>
      </c>
      <c r="F30" s="881" t="s">
        <v>845</v>
      </c>
      <c r="G30" s="618"/>
      <c r="H30" s="624"/>
      <c r="I30" s="618"/>
      <c r="J30" s="624"/>
      <c r="K30" s="879"/>
      <c r="L30" s="658"/>
      <c r="W30" s="613"/>
      <c r="X30" s="694">
        <v>0</v>
      </c>
    </row>
    <row r="31" spans="1:24" ht="126.75" hidden="1" customHeight="1">
      <c r="A31" s="2301"/>
      <c r="D31" s="884" t="s">
        <v>110</v>
      </c>
      <c r="E31" s="217" t="s">
        <v>846</v>
      </c>
      <c r="F31" s="598" t="s">
        <v>556</v>
      </c>
      <c r="G31" s="495"/>
      <c r="H31" s="600"/>
      <c r="I31" s="495"/>
      <c r="J31" s="600"/>
      <c r="K31" s="227" t="s">
        <v>847</v>
      </c>
      <c r="L31" s="658"/>
      <c r="X31" s="443">
        <v>0</v>
      </c>
    </row>
    <row r="32" spans="1:24" ht="56.25" hidden="1" customHeight="1">
      <c r="A32" s="2301"/>
      <c r="D32" s="884" t="s">
        <v>91</v>
      </c>
      <c r="E32" s="217" t="s">
        <v>848</v>
      </c>
      <c r="F32" s="477" t="s">
        <v>818</v>
      </c>
      <c r="G32" s="495"/>
      <c r="H32" s="600"/>
      <c r="I32" s="495"/>
      <c r="J32" s="600"/>
      <c r="K32" s="227" t="s">
        <v>849</v>
      </c>
      <c r="L32" s="658"/>
      <c r="X32" s="443">
        <v>0</v>
      </c>
    </row>
    <row r="33" spans="1:24" ht="11.25" hidden="1" customHeight="1">
      <c r="A33" s="2301"/>
      <c r="E33" s="602"/>
      <c r="F33" s="119"/>
      <c r="G33" s="119"/>
      <c r="H33" s="119"/>
      <c r="I33" s="119"/>
      <c r="J33" s="119"/>
      <c r="K33" s="119"/>
      <c r="X33" s="443">
        <v>0</v>
      </c>
    </row>
    <row r="34" spans="1:24" ht="12.75" hidden="1" customHeight="1">
      <c r="A34" s="2301"/>
      <c r="D34" s="5">
        <v>1</v>
      </c>
      <c r="E34" s="273" t="s">
        <v>850</v>
      </c>
      <c r="X34" s="443">
        <v>0</v>
      </c>
    </row>
    <row r="35" spans="1:24" ht="11.25" hidden="1" customHeight="1">
      <c r="A35" s="2301"/>
      <c r="D35" s="307"/>
      <c r="E35" s="273" t="s">
        <v>851</v>
      </c>
      <c r="X35" s="443">
        <v>0</v>
      </c>
    </row>
    <row r="36" spans="1:24" s="1563" customFormat="1" ht="11.45" customHeight="1">
      <c r="A36" s="964"/>
      <c r="B36" s="456"/>
      <c r="D36" s="965"/>
      <c r="E36" s="966"/>
      <c r="X36" s="447">
        <v>11</v>
      </c>
    </row>
    <row r="37" spans="1:24" s="1563" customFormat="1" ht="22.5" customHeight="1">
      <c r="A37" s="2301" t="s">
        <v>852</v>
      </c>
      <c r="B37" s="449"/>
      <c r="D37" s="884">
        <v>1</v>
      </c>
      <c r="E37" s="645" t="s">
        <v>853</v>
      </c>
      <c r="F37" s="598" t="s">
        <v>808</v>
      </c>
      <c r="G37" s="495"/>
      <c r="H37" s="457"/>
      <c r="I37" s="495"/>
      <c r="J37" s="457"/>
      <c r="K37" s="227" t="s">
        <v>854</v>
      </c>
      <c r="X37" s="694">
        <v>0</v>
      </c>
    </row>
    <row r="38" spans="1:24" s="1563" customFormat="1" ht="22.5" customHeight="1">
      <c r="A38" s="2301"/>
      <c r="B38" s="449"/>
      <c r="D38" s="607" t="s">
        <v>109</v>
      </c>
      <c r="E38" s="963" t="s">
        <v>855</v>
      </c>
      <c r="F38" s="967" t="s">
        <v>544</v>
      </c>
      <c r="G38" s="967" t="s">
        <v>544</v>
      </c>
      <c r="H38" s="961"/>
      <c r="I38" s="967" t="s">
        <v>544</v>
      </c>
      <c r="J38" s="961"/>
      <c r="K38" s="962"/>
      <c r="X38" s="694">
        <v>0</v>
      </c>
    </row>
    <row r="39" spans="1:24" s="1563" customFormat="1" ht="33.75" customHeight="1">
      <c r="A39" s="2301"/>
      <c r="B39" s="449"/>
      <c r="D39" s="603" t="s">
        <v>710</v>
      </c>
      <c r="E39" s="661" t="s">
        <v>856</v>
      </c>
      <c r="F39" s="598" t="s">
        <v>857</v>
      </c>
      <c r="G39" s="606"/>
      <c r="H39" s="954"/>
      <c r="I39" s="606"/>
      <c r="J39" s="954"/>
      <c r="K39" s="227" t="s">
        <v>858</v>
      </c>
      <c r="X39" s="694">
        <v>0</v>
      </c>
    </row>
    <row r="40" spans="1:24" s="1563" customFormat="1" ht="33.75" customHeight="1">
      <c r="A40" s="2301"/>
      <c r="B40" s="449"/>
      <c r="D40" s="603" t="s">
        <v>713</v>
      </c>
      <c r="E40" s="661" t="s">
        <v>859</v>
      </c>
      <c r="F40" s="958" t="s">
        <v>860</v>
      </c>
      <c r="G40" s="679"/>
      <c r="H40" s="954"/>
      <c r="I40" s="679"/>
      <c r="J40" s="954"/>
      <c r="K40" s="227" t="s">
        <v>861</v>
      </c>
      <c r="X40" s="694">
        <v>0</v>
      </c>
    </row>
    <row r="41" spans="1:24" s="1563" customFormat="1" ht="22.5" customHeight="1">
      <c r="A41" s="2301"/>
      <c r="B41" s="449"/>
      <c r="D41" s="603" t="s">
        <v>89</v>
      </c>
      <c r="E41" s="660" t="s">
        <v>862</v>
      </c>
      <c r="F41" s="598" t="s">
        <v>544</v>
      </c>
      <c r="G41" s="598" t="s">
        <v>544</v>
      </c>
      <c r="H41" s="955"/>
      <c r="I41" s="598" t="s">
        <v>544</v>
      </c>
      <c r="J41" s="955"/>
      <c r="K41" s="240"/>
      <c r="X41" s="694">
        <v>0</v>
      </c>
    </row>
    <row r="42" spans="1:24" s="1563" customFormat="1" ht="45" customHeight="1">
      <c r="A42" s="2301"/>
      <c r="B42" s="449"/>
      <c r="D42" s="603" t="s">
        <v>322</v>
      </c>
      <c r="E42" s="661" t="s">
        <v>863</v>
      </c>
      <c r="F42" s="598" t="s">
        <v>556</v>
      </c>
      <c r="G42" s="495"/>
      <c r="H42" s="955"/>
      <c r="I42" s="495"/>
      <c r="J42" s="955"/>
      <c r="K42" s="240" t="s">
        <v>864</v>
      </c>
      <c r="X42" s="694">
        <v>0</v>
      </c>
    </row>
    <row r="43" spans="1:24" s="1563" customFormat="1" ht="45" customHeight="1">
      <c r="A43" s="2301"/>
      <c r="B43" s="449"/>
      <c r="D43" s="603" t="s">
        <v>330</v>
      </c>
      <c r="E43" s="605" t="s">
        <v>865</v>
      </c>
      <c r="F43" s="959" t="s">
        <v>556</v>
      </c>
      <c r="G43" s="680"/>
      <c r="H43" s="954"/>
      <c r="I43" s="680"/>
      <c r="J43" s="954"/>
      <c r="K43" s="240" t="s">
        <v>866</v>
      </c>
      <c r="X43" s="694">
        <v>0</v>
      </c>
    </row>
    <row r="44" spans="1:24" s="1563" customFormat="1" ht="11.25" customHeight="1">
      <c r="A44" s="2301"/>
      <c r="B44" s="449"/>
      <c r="D44" s="603" t="s">
        <v>90</v>
      </c>
      <c r="E44" s="604" t="s">
        <v>867</v>
      </c>
      <c r="F44" s="598" t="s">
        <v>857</v>
      </c>
      <c r="G44" s="606"/>
      <c r="H44" s="954"/>
      <c r="I44" s="606"/>
      <c r="J44" s="954"/>
      <c r="K44" s="227"/>
      <c r="X44" s="694">
        <v>0</v>
      </c>
    </row>
    <row r="45" spans="1:24" s="1563" customFormat="1" ht="11.25" customHeight="1">
      <c r="A45" s="2301"/>
      <c r="B45" s="449"/>
      <c r="D45" s="603" t="s">
        <v>752</v>
      </c>
      <c r="E45" s="605" t="s">
        <v>868</v>
      </c>
      <c r="F45" s="598" t="s">
        <v>857</v>
      </c>
      <c r="G45" s="606"/>
      <c r="H45" s="954"/>
      <c r="I45" s="606"/>
      <c r="J45" s="954"/>
      <c r="K45" s="227"/>
      <c r="X45" s="694">
        <v>0</v>
      </c>
    </row>
    <row r="46" spans="1:24" s="1563" customFormat="1" ht="11.25" customHeight="1">
      <c r="A46" s="2301"/>
      <c r="B46" s="449"/>
      <c r="D46" s="603" t="s">
        <v>794</v>
      </c>
      <c r="E46" s="605" t="s">
        <v>869</v>
      </c>
      <c r="F46" s="598" t="s">
        <v>857</v>
      </c>
      <c r="G46" s="606"/>
      <c r="H46" s="954"/>
      <c r="I46" s="606"/>
      <c r="J46" s="954"/>
      <c r="K46" s="227"/>
      <c r="X46" s="694">
        <v>0</v>
      </c>
    </row>
    <row r="47" spans="1:24" s="1563" customFormat="1" ht="11.25" customHeight="1">
      <c r="A47" s="2301"/>
      <c r="B47" s="449"/>
      <c r="D47" s="603" t="s">
        <v>797</v>
      </c>
      <c r="E47" s="605" t="s">
        <v>870</v>
      </c>
      <c r="F47" s="598" t="s">
        <v>857</v>
      </c>
      <c r="G47" s="606"/>
      <c r="H47" s="954"/>
      <c r="I47" s="606"/>
      <c r="J47" s="954"/>
      <c r="K47" s="227"/>
      <c r="X47" s="694">
        <v>0</v>
      </c>
    </row>
    <row r="48" spans="1:24" s="1563" customFormat="1" ht="11.25" customHeight="1">
      <c r="A48" s="2301"/>
      <c r="B48" s="449"/>
      <c r="D48" s="603" t="s">
        <v>871</v>
      </c>
      <c r="E48" s="609" t="s">
        <v>872</v>
      </c>
      <c r="F48" s="598" t="s">
        <v>857</v>
      </c>
      <c r="G48" s="606"/>
      <c r="H48" s="954"/>
      <c r="I48" s="606"/>
      <c r="J48" s="954"/>
      <c r="K48" s="227"/>
      <c r="X48" s="694">
        <v>0</v>
      </c>
    </row>
    <row r="49" spans="1:24" s="1563" customFormat="1" ht="11.25" customHeight="1">
      <c r="A49" s="2301"/>
      <c r="B49" s="449"/>
      <c r="D49" s="603" t="s">
        <v>873</v>
      </c>
      <c r="E49" s="609" t="s">
        <v>874</v>
      </c>
      <c r="F49" s="598" t="s">
        <v>857</v>
      </c>
      <c r="G49" s="606"/>
      <c r="H49" s="954"/>
      <c r="I49" s="606"/>
      <c r="J49" s="954"/>
      <c r="K49" s="227"/>
      <c r="X49" s="694">
        <v>0</v>
      </c>
    </row>
    <row r="50" spans="1:24" s="1563" customFormat="1" ht="11.25" customHeight="1">
      <c r="A50" s="2301"/>
      <c r="B50" s="449"/>
      <c r="D50" s="603" t="s">
        <v>875</v>
      </c>
      <c r="E50" s="605" t="s">
        <v>876</v>
      </c>
      <c r="F50" s="598" t="s">
        <v>857</v>
      </c>
      <c r="G50" s="606"/>
      <c r="H50" s="954"/>
      <c r="I50" s="606"/>
      <c r="J50" s="954"/>
      <c r="K50" s="227"/>
      <c r="X50" s="694">
        <v>0</v>
      </c>
    </row>
    <row r="51" spans="1:24" s="1563" customFormat="1" ht="11.25" customHeight="1">
      <c r="A51" s="2301"/>
      <c r="B51" s="449"/>
      <c r="D51" s="603" t="s">
        <v>877</v>
      </c>
      <c r="E51" s="605" t="s">
        <v>878</v>
      </c>
      <c r="F51" s="598" t="s">
        <v>857</v>
      </c>
      <c r="G51" s="606"/>
      <c r="H51" s="954"/>
      <c r="I51" s="606"/>
      <c r="J51" s="954"/>
      <c r="K51" s="227"/>
      <c r="X51" s="694">
        <v>0</v>
      </c>
    </row>
    <row r="52" spans="1:24" s="1563" customFormat="1" ht="45" customHeight="1">
      <c r="A52" s="2301"/>
      <c r="B52" s="449"/>
      <c r="D52" s="603" t="s">
        <v>110</v>
      </c>
      <c r="E52" s="604" t="s">
        <v>879</v>
      </c>
      <c r="F52" s="598" t="s">
        <v>857</v>
      </c>
      <c r="G52" s="606"/>
      <c r="H52" s="954"/>
      <c r="I52" s="606"/>
      <c r="J52" s="954"/>
      <c r="K52" s="227"/>
      <c r="X52" s="694">
        <v>0</v>
      </c>
    </row>
    <row r="53" spans="1:24" s="1563" customFormat="1" ht="11.25" customHeight="1">
      <c r="A53" s="2301"/>
      <c r="B53" s="449"/>
      <c r="D53" s="603" t="s">
        <v>311</v>
      </c>
      <c r="E53" s="605" t="s">
        <v>868</v>
      </c>
      <c r="F53" s="598" t="s">
        <v>857</v>
      </c>
      <c r="G53" s="606"/>
      <c r="H53" s="954"/>
      <c r="I53" s="606"/>
      <c r="J53" s="954"/>
      <c r="K53" s="227"/>
      <c r="X53" s="694">
        <v>0</v>
      </c>
    </row>
    <row r="54" spans="1:24" s="1563" customFormat="1" ht="11.25" customHeight="1">
      <c r="A54" s="2301"/>
      <c r="B54" s="449"/>
      <c r="D54" s="603" t="s">
        <v>880</v>
      </c>
      <c r="E54" s="605" t="s">
        <v>869</v>
      </c>
      <c r="F54" s="598" t="s">
        <v>857</v>
      </c>
      <c r="G54" s="606"/>
      <c r="H54" s="954"/>
      <c r="I54" s="606"/>
      <c r="J54" s="954"/>
      <c r="K54" s="227"/>
      <c r="X54" s="694">
        <v>0</v>
      </c>
    </row>
    <row r="55" spans="1:24" s="1563" customFormat="1" ht="11.25" customHeight="1">
      <c r="A55" s="2301"/>
      <c r="B55" s="449"/>
      <c r="D55" s="603" t="s">
        <v>881</v>
      </c>
      <c r="E55" s="605" t="s">
        <v>870</v>
      </c>
      <c r="F55" s="598" t="s">
        <v>857</v>
      </c>
      <c r="G55" s="606"/>
      <c r="H55" s="954"/>
      <c r="I55" s="606"/>
      <c r="J55" s="954"/>
      <c r="K55" s="227"/>
      <c r="X55" s="694">
        <v>0</v>
      </c>
    </row>
    <row r="56" spans="1:24" s="1563" customFormat="1" ht="11.25" customHeight="1">
      <c r="A56" s="2301"/>
      <c r="B56" s="449"/>
      <c r="D56" s="603" t="s">
        <v>882</v>
      </c>
      <c r="E56" s="609" t="s">
        <v>872</v>
      </c>
      <c r="F56" s="598" t="s">
        <v>857</v>
      </c>
      <c r="G56" s="606"/>
      <c r="H56" s="954"/>
      <c r="I56" s="606"/>
      <c r="J56" s="954"/>
      <c r="K56" s="227"/>
      <c r="X56" s="694">
        <v>0</v>
      </c>
    </row>
    <row r="57" spans="1:24" s="1563" customFormat="1" ht="11.25" customHeight="1">
      <c r="A57" s="2301"/>
      <c r="B57" s="449"/>
      <c r="D57" s="603" t="s">
        <v>883</v>
      </c>
      <c r="E57" s="609" t="s">
        <v>874</v>
      </c>
      <c r="F57" s="598" t="s">
        <v>857</v>
      </c>
      <c r="G57" s="606"/>
      <c r="H57" s="954"/>
      <c r="I57" s="606"/>
      <c r="J57" s="954"/>
      <c r="K57" s="227"/>
      <c r="X57" s="694">
        <v>0</v>
      </c>
    </row>
    <row r="58" spans="1:24" s="1563" customFormat="1" ht="11.25" customHeight="1">
      <c r="A58" s="2301"/>
      <c r="B58" s="449"/>
      <c r="D58" s="603" t="s">
        <v>884</v>
      </c>
      <c r="E58" s="605" t="s">
        <v>876</v>
      </c>
      <c r="F58" s="598" t="s">
        <v>857</v>
      </c>
      <c r="G58" s="606"/>
      <c r="H58" s="954"/>
      <c r="I58" s="606"/>
      <c r="J58" s="954"/>
      <c r="K58" s="227"/>
      <c r="X58" s="694">
        <v>0</v>
      </c>
    </row>
    <row r="59" spans="1:24" s="1563" customFormat="1" ht="11.25" customHeight="1">
      <c r="A59" s="2301"/>
      <c r="B59" s="449"/>
      <c r="D59" s="603" t="s">
        <v>885</v>
      </c>
      <c r="E59" s="605" t="s">
        <v>878</v>
      </c>
      <c r="F59" s="598" t="s">
        <v>857</v>
      </c>
      <c r="G59" s="606"/>
      <c r="H59" s="954"/>
      <c r="I59" s="606"/>
      <c r="J59" s="954"/>
      <c r="K59" s="227"/>
      <c r="X59" s="694">
        <v>0</v>
      </c>
    </row>
    <row r="60" spans="1:24" s="1563" customFormat="1" ht="33.75" customHeight="1">
      <c r="A60" s="2301"/>
      <c r="B60" s="449"/>
      <c r="D60" s="603" t="s">
        <v>91</v>
      </c>
      <c r="E60" s="604" t="s">
        <v>886</v>
      </c>
      <c r="F60" s="659" t="s">
        <v>556</v>
      </c>
      <c r="G60" s="680"/>
      <c r="H60" s="954"/>
      <c r="I60" s="680"/>
      <c r="J60" s="954"/>
      <c r="K60" s="240" t="s">
        <v>887</v>
      </c>
      <c r="X60" s="694">
        <v>0</v>
      </c>
    </row>
    <row r="61" spans="1:24" s="1563" customFormat="1" ht="33.75" customHeight="1">
      <c r="A61" s="2301"/>
      <c r="B61" s="449"/>
      <c r="D61" s="603" t="s">
        <v>92</v>
      </c>
      <c r="E61" s="604" t="s">
        <v>888</v>
      </c>
      <c r="F61" s="664" t="s">
        <v>818</v>
      </c>
      <c r="G61" s="606"/>
      <c r="H61" s="954"/>
      <c r="I61" s="606"/>
      <c r="J61" s="954"/>
      <c r="K61" s="227"/>
      <c r="X61" s="694">
        <v>0</v>
      </c>
    </row>
    <row r="62" spans="1:24" s="1563" customFormat="1" ht="22.5" customHeight="1">
      <c r="A62" s="2301"/>
      <c r="B62" s="449" t="s">
        <v>586</v>
      </c>
      <c r="D62" s="603" t="s">
        <v>111</v>
      </c>
      <c r="E62" s="604" t="s">
        <v>889</v>
      </c>
      <c r="F62" s="664" t="s">
        <v>304</v>
      </c>
      <c r="G62" s="320"/>
      <c r="H62" s="954"/>
      <c r="I62" s="320"/>
      <c r="J62" s="954"/>
      <c r="K62" s="227" t="s">
        <v>629</v>
      </c>
      <c r="X62" s="694">
        <v>0</v>
      </c>
    </row>
    <row r="63" spans="1:24" s="1563" customFormat="1" ht="45" customHeight="1">
      <c r="A63" s="2301"/>
      <c r="B63" s="449" t="s">
        <v>586</v>
      </c>
      <c r="D63" s="603" t="s">
        <v>890</v>
      </c>
      <c r="E63" s="605" t="s">
        <v>891</v>
      </c>
      <c r="F63" s="659" t="s">
        <v>304</v>
      </c>
      <c r="G63" s="320"/>
      <c r="H63" s="954"/>
      <c r="I63" s="320"/>
      <c r="J63" s="954"/>
      <c r="K63" s="227" t="s">
        <v>629</v>
      </c>
      <c r="X63" s="694">
        <v>0</v>
      </c>
    </row>
    <row r="64" spans="1:24" s="1563" customFormat="1" ht="11.45" customHeight="1">
      <c r="A64" s="964"/>
      <c r="B64" s="456"/>
      <c r="D64" s="965"/>
      <c r="E64" s="966"/>
      <c r="X64" s="447">
        <v>11</v>
      </c>
    </row>
    <row r="65" spans="1:24" s="1563" customFormat="1" ht="22.5" hidden="1" customHeight="1">
      <c r="A65" s="2301" t="s">
        <v>892</v>
      </c>
      <c r="B65" s="449"/>
      <c r="D65" s="603">
        <v>1</v>
      </c>
      <c r="E65" s="682" t="s">
        <v>893</v>
      </c>
      <c r="F65" s="678" t="s">
        <v>808</v>
      </c>
      <c r="G65" s="679"/>
      <c r="H65" s="960"/>
      <c r="I65" s="679"/>
      <c r="J65" s="960"/>
      <c r="K65" s="239" t="s">
        <v>894</v>
      </c>
      <c r="X65" s="694">
        <v>0</v>
      </c>
    </row>
    <row r="66" spans="1:24" s="1563" customFormat="1" ht="56.25" hidden="1" customHeight="1">
      <c r="A66" s="2301"/>
      <c r="B66" s="449"/>
      <c r="D66" s="681" t="s">
        <v>109</v>
      </c>
      <c r="E66" s="645" t="s">
        <v>895</v>
      </c>
      <c r="F66" s="598" t="s">
        <v>544</v>
      </c>
      <c r="G66" s="598" t="s">
        <v>544</v>
      </c>
      <c r="H66" s="457"/>
      <c r="I66" s="598" t="s">
        <v>544</v>
      </c>
      <c r="J66" s="457"/>
      <c r="K66" s="227"/>
      <c r="X66" s="694">
        <v>0</v>
      </c>
    </row>
    <row r="67" spans="1:24" s="1563" customFormat="1" ht="33.75" hidden="1" customHeight="1">
      <c r="A67" s="2301"/>
      <c r="B67" s="449"/>
      <c r="D67" s="681" t="s">
        <v>707</v>
      </c>
      <c r="E67" s="885" t="s">
        <v>896</v>
      </c>
      <c r="F67" s="598" t="s">
        <v>860</v>
      </c>
      <c r="G67" s="665"/>
      <c r="H67" s="457"/>
      <c r="I67" s="665"/>
      <c r="J67" s="457"/>
      <c r="K67" s="227"/>
      <c r="X67" s="694">
        <v>0</v>
      </c>
    </row>
    <row r="68" spans="1:24" s="1563" customFormat="1" ht="22.5" hidden="1" customHeight="1">
      <c r="A68" s="2301"/>
      <c r="B68" s="449"/>
      <c r="D68" s="681" t="s">
        <v>305</v>
      </c>
      <c r="E68" s="885" t="s">
        <v>897</v>
      </c>
      <c r="F68" s="598" t="s">
        <v>860</v>
      </c>
      <c r="G68" s="665"/>
      <c r="H68" s="457"/>
      <c r="I68" s="665"/>
      <c r="J68" s="457"/>
      <c r="K68" s="227"/>
      <c r="X68" s="694">
        <v>0</v>
      </c>
    </row>
    <row r="69" spans="1:24" s="1563" customFormat="1" ht="22.5" hidden="1" customHeight="1">
      <c r="A69" s="2301"/>
      <c r="B69" s="449"/>
      <c r="D69" s="681" t="s">
        <v>308</v>
      </c>
      <c r="E69" s="885" t="s">
        <v>898</v>
      </c>
      <c r="F69" s="659" t="s">
        <v>556</v>
      </c>
      <c r="G69" s="680"/>
      <c r="H69" s="457"/>
      <c r="I69" s="680"/>
      <c r="J69" s="457"/>
      <c r="K69" s="227"/>
      <c r="X69" s="694">
        <v>0</v>
      </c>
    </row>
    <row r="70" spans="1:24" s="1563" customFormat="1" ht="22.5" hidden="1" customHeight="1">
      <c r="A70" s="2301"/>
      <c r="B70" s="449"/>
      <c r="D70" s="681" t="s">
        <v>727</v>
      </c>
      <c r="E70" s="885" t="s">
        <v>899</v>
      </c>
      <c r="F70" s="659" t="s">
        <v>556</v>
      </c>
      <c r="G70" s="680"/>
      <c r="H70" s="457"/>
      <c r="I70" s="680"/>
      <c r="J70" s="457"/>
      <c r="K70" s="227"/>
      <c r="X70" s="694">
        <v>0</v>
      </c>
    </row>
    <row r="71" spans="1:24" s="1563" customFormat="1" ht="22.5" hidden="1" customHeight="1">
      <c r="A71" s="2301"/>
      <c r="B71" s="449"/>
      <c r="D71" s="603" t="s">
        <v>89</v>
      </c>
      <c r="E71" s="604" t="s">
        <v>900</v>
      </c>
      <c r="F71" s="598" t="s">
        <v>860</v>
      </c>
      <c r="G71" s="495"/>
      <c r="H71" s="961"/>
      <c r="I71" s="495"/>
      <c r="J71" s="961"/>
      <c r="K71" s="240"/>
      <c r="X71" s="694">
        <v>0</v>
      </c>
    </row>
    <row r="72" spans="1:24" s="1563" customFormat="1" ht="56.25" hidden="1" customHeight="1">
      <c r="A72" s="2301"/>
      <c r="B72" s="449"/>
      <c r="D72" s="603" t="s">
        <v>90</v>
      </c>
      <c r="E72" s="604" t="s">
        <v>901</v>
      </c>
      <c r="F72" s="659" t="s">
        <v>556</v>
      </c>
      <c r="G72" s="680"/>
      <c r="H72" s="954"/>
      <c r="I72" s="680"/>
      <c r="J72" s="954"/>
      <c r="K72" s="240"/>
      <c r="X72" s="694">
        <v>0</v>
      </c>
    </row>
    <row r="73" spans="1:24" s="1563" customFormat="1" ht="33.75" hidden="1" customHeight="1">
      <c r="A73" s="2301"/>
      <c r="B73" s="449"/>
      <c r="D73" s="603" t="s">
        <v>110</v>
      </c>
      <c r="E73" s="604" t="s">
        <v>902</v>
      </c>
      <c r="F73" s="664" t="s">
        <v>818</v>
      </c>
      <c r="G73" s="606"/>
      <c r="H73" s="954"/>
      <c r="I73" s="606"/>
      <c r="J73" s="954"/>
      <c r="K73" s="227"/>
      <c r="X73" s="694">
        <v>0</v>
      </c>
    </row>
    <row r="74" spans="1:24" s="1563" customFormat="1" ht="22.5" hidden="1" customHeight="1">
      <c r="A74" s="2301"/>
      <c r="B74" s="449" t="s">
        <v>586</v>
      </c>
      <c r="D74" s="603" t="s">
        <v>91</v>
      </c>
      <c r="E74" s="604" t="s">
        <v>903</v>
      </c>
      <c r="F74" s="664" t="s">
        <v>304</v>
      </c>
      <c r="G74" s="320"/>
      <c r="H74" s="954"/>
      <c r="I74" s="320"/>
      <c r="J74" s="954"/>
      <c r="K74" s="227" t="s">
        <v>629</v>
      </c>
      <c r="X74" s="694">
        <v>0</v>
      </c>
    </row>
    <row r="75" spans="1:24" s="1563" customFormat="1" ht="45" hidden="1" customHeight="1">
      <c r="A75" s="2301"/>
      <c r="B75" s="449" t="s">
        <v>586</v>
      </c>
      <c r="D75" s="603" t="s">
        <v>650</v>
      </c>
      <c r="E75" s="605" t="s">
        <v>904</v>
      </c>
      <c r="F75" s="659" t="s">
        <v>304</v>
      </c>
      <c r="G75" s="320"/>
      <c r="H75" s="954"/>
      <c r="I75" s="320"/>
      <c r="J75" s="954"/>
      <c r="K75" s="227" t="s">
        <v>629</v>
      </c>
      <c r="X75" s="694">
        <v>0</v>
      </c>
    </row>
    <row r="76" spans="1:24" s="1563" customFormat="1" ht="11.45" customHeight="1">
      <c r="A76" s="964"/>
      <c r="B76" s="456"/>
      <c r="D76" s="965"/>
      <c r="E76" s="966"/>
      <c r="X76" s="447">
        <v>11</v>
      </c>
    </row>
    <row r="77" spans="1:24" s="1563" customFormat="1" ht="11.25" hidden="1" customHeight="1">
      <c r="A77" s="2301" t="s">
        <v>905</v>
      </c>
      <c r="B77" s="449"/>
      <c r="D77" s="603">
        <v>1</v>
      </c>
      <c r="E77" s="604" t="s">
        <v>906</v>
      </c>
      <c r="F77" s="659" t="s">
        <v>808</v>
      </c>
      <c r="G77" s="662"/>
      <c r="H77" s="954"/>
      <c r="I77" s="662"/>
      <c r="J77" s="954"/>
      <c r="K77" s="227" t="s">
        <v>907</v>
      </c>
      <c r="X77" s="694">
        <v>0</v>
      </c>
    </row>
    <row r="78" spans="1:24" s="1563" customFormat="1" ht="11.25" hidden="1" customHeight="1">
      <c r="A78" s="2301"/>
      <c r="B78" s="449"/>
      <c r="D78" s="603" t="s">
        <v>109</v>
      </c>
      <c r="E78" s="604" t="s">
        <v>908</v>
      </c>
      <c r="F78" s="659" t="s">
        <v>808</v>
      </c>
      <c r="G78" s="662"/>
      <c r="H78" s="954"/>
      <c r="I78" s="662"/>
      <c r="J78" s="954"/>
      <c r="K78" s="227" t="s">
        <v>909</v>
      </c>
      <c r="X78" s="694">
        <v>0</v>
      </c>
    </row>
    <row r="79" spans="1:24" s="1563" customFormat="1" ht="22.5" hidden="1" customHeight="1">
      <c r="A79" s="2301"/>
      <c r="B79" s="449"/>
      <c r="D79" s="603" t="s">
        <v>89</v>
      </c>
      <c r="E79" s="660" t="s">
        <v>910</v>
      </c>
      <c r="F79" s="598" t="s">
        <v>857</v>
      </c>
      <c r="G79" s="662"/>
      <c r="H79" s="954"/>
      <c r="I79" s="662"/>
      <c r="J79" s="954"/>
      <c r="K79" s="227" t="s">
        <v>911</v>
      </c>
      <c r="X79" s="694">
        <v>0</v>
      </c>
    </row>
    <row r="80" spans="1:24" s="1563" customFormat="1" ht="11.25" hidden="1" customHeight="1">
      <c r="A80" s="2301"/>
      <c r="B80" s="449"/>
      <c r="D80" s="603" t="s">
        <v>322</v>
      </c>
      <c r="E80" s="661" t="s">
        <v>912</v>
      </c>
      <c r="F80" s="598" t="s">
        <v>857</v>
      </c>
      <c r="G80" s="662"/>
      <c r="H80" s="954"/>
      <c r="I80" s="662"/>
      <c r="J80" s="954"/>
      <c r="K80" s="227"/>
      <c r="X80" s="694">
        <v>0</v>
      </c>
    </row>
    <row r="81" spans="1:24" s="1563" customFormat="1" ht="11.25" hidden="1" customHeight="1">
      <c r="A81" s="2301"/>
      <c r="B81" s="449"/>
      <c r="D81" s="603" t="s">
        <v>330</v>
      </c>
      <c r="E81" s="661" t="s">
        <v>913</v>
      </c>
      <c r="F81" s="598" t="s">
        <v>857</v>
      </c>
      <c r="G81" s="662"/>
      <c r="H81" s="954"/>
      <c r="I81" s="662"/>
      <c r="J81" s="954"/>
      <c r="K81" s="227"/>
      <c r="X81" s="694">
        <v>0</v>
      </c>
    </row>
    <row r="82" spans="1:24" s="1563" customFormat="1" ht="11.25" hidden="1" customHeight="1">
      <c r="A82" s="2301"/>
      <c r="B82" s="449"/>
      <c r="D82" s="603" t="s">
        <v>332</v>
      </c>
      <c r="E82" s="661" t="s">
        <v>914</v>
      </c>
      <c r="F82" s="598" t="s">
        <v>857</v>
      </c>
      <c r="G82" s="662"/>
      <c r="H82" s="954"/>
      <c r="I82" s="662"/>
      <c r="J82" s="954"/>
      <c r="K82" s="227"/>
      <c r="X82" s="694">
        <v>0</v>
      </c>
    </row>
    <row r="83" spans="1:24" s="1563" customFormat="1" ht="11.25" hidden="1" customHeight="1">
      <c r="A83" s="2301"/>
      <c r="B83" s="449"/>
      <c r="D83" s="603" t="s">
        <v>334</v>
      </c>
      <c r="E83" s="661" t="s">
        <v>915</v>
      </c>
      <c r="F83" s="598" t="s">
        <v>857</v>
      </c>
      <c r="G83" s="662"/>
      <c r="H83" s="954"/>
      <c r="I83" s="662"/>
      <c r="J83" s="954"/>
      <c r="K83" s="227"/>
      <c r="X83" s="694">
        <v>0</v>
      </c>
    </row>
    <row r="84" spans="1:24" s="1563" customFormat="1" ht="11.25" hidden="1" customHeight="1">
      <c r="A84" s="2301"/>
      <c r="B84" s="449"/>
      <c r="D84" s="603" t="s">
        <v>916</v>
      </c>
      <c r="E84" s="661" t="s">
        <v>917</v>
      </c>
      <c r="F84" s="598" t="s">
        <v>857</v>
      </c>
      <c r="G84" s="662"/>
      <c r="H84" s="954"/>
      <c r="I84" s="662"/>
      <c r="J84" s="954"/>
      <c r="K84" s="227"/>
      <c r="X84" s="694">
        <v>0</v>
      </c>
    </row>
    <row r="85" spans="1:24" s="1563" customFormat="1" ht="11.25" hidden="1" customHeight="1">
      <c r="A85" s="2301"/>
      <c r="B85" s="449"/>
      <c r="D85" s="603" t="s">
        <v>918</v>
      </c>
      <c r="E85" s="661" t="s">
        <v>919</v>
      </c>
      <c r="F85" s="598" t="s">
        <v>857</v>
      </c>
      <c r="G85" s="662"/>
      <c r="H85" s="954"/>
      <c r="I85" s="662"/>
      <c r="J85" s="954"/>
      <c r="K85" s="227"/>
      <c r="X85" s="694">
        <v>0</v>
      </c>
    </row>
    <row r="86" spans="1:24" s="1563" customFormat="1" ht="11.25" hidden="1" customHeight="1">
      <c r="A86" s="2301"/>
      <c r="B86" s="449"/>
      <c r="D86" s="603" t="s">
        <v>920</v>
      </c>
      <c r="E86" s="661" t="s">
        <v>921</v>
      </c>
      <c r="F86" s="598" t="s">
        <v>857</v>
      </c>
      <c r="G86" s="662"/>
      <c r="H86" s="954"/>
      <c r="I86" s="662"/>
      <c r="J86" s="954"/>
      <c r="K86" s="227"/>
      <c r="X86" s="694">
        <v>0</v>
      </c>
    </row>
    <row r="87" spans="1:24" s="1563" customFormat="1" ht="45" hidden="1" customHeight="1">
      <c r="A87" s="2301"/>
      <c r="B87" s="449"/>
      <c r="D87" s="603" t="s">
        <v>90</v>
      </c>
      <c r="E87" s="604" t="s">
        <v>922</v>
      </c>
      <c r="F87" s="598" t="s">
        <v>857</v>
      </c>
      <c r="G87" s="662"/>
      <c r="H87" s="954"/>
      <c r="I87" s="662"/>
      <c r="J87" s="954"/>
      <c r="K87" s="227" t="s">
        <v>923</v>
      </c>
      <c r="X87" s="694">
        <v>0</v>
      </c>
    </row>
    <row r="88" spans="1:24" s="1563" customFormat="1" ht="11.25" hidden="1" customHeight="1">
      <c r="A88" s="2301"/>
      <c r="B88" s="449"/>
      <c r="D88" s="603" t="s">
        <v>752</v>
      </c>
      <c r="E88" s="661" t="s">
        <v>912</v>
      </c>
      <c r="F88" s="598" t="s">
        <v>857</v>
      </c>
      <c r="G88" s="662"/>
      <c r="H88" s="954"/>
      <c r="I88" s="662"/>
      <c r="J88" s="954"/>
      <c r="K88" s="227"/>
      <c r="X88" s="694">
        <v>0</v>
      </c>
    </row>
    <row r="89" spans="1:24" s="1563" customFormat="1" ht="11.25" hidden="1" customHeight="1">
      <c r="A89" s="2301"/>
      <c r="B89" s="449"/>
      <c r="D89" s="603" t="s">
        <v>794</v>
      </c>
      <c r="E89" s="661" t="s">
        <v>913</v>
      </c>
      <c r="F89" s="598" t="s">
        <v>857</v>
      </c>
      <c r="G89" s="662"/>
      <c r="H89" s="954"/>
      <c r="I89" s="662"/>
      <c r="J89" s="954"/>
      <c r="K89" s="227"/>
      <c r="X89" s="694">
        <v>0</v>
      </c>
    </row>
    <row r="90" spans="1:24" s="1563" customFormat="1" ht="11.25" hidden="1" customHeight="1">
      <c r="A90" s="2301"/>
      <c r="B90" s="449"/>
      <c r="D90" s="603" t="s">
        <v>797</v>
      </c>
      <c r="E90" s="661" t="s">
        <v>914</v>
      </c>
      <c r="F90" s="598" t="s">
        <v>857</v>
      </c>
      <c r="G90" s="662"/>
      <c r="H90" s="954"/>
      <c r="I90" s="662"/>
      <c r="J90" s="954"/>
      <c r="K90" s="227"/>
      <c r="X90" s="694">
        <v>0</v>
      </c>
    </row>
    <row r="91" spans="1:24" s="1563" customFormat="1" ht="11.25" hidden="1" customHeight="1">
      <c r="A91" s="2301"/>
      <c r="B91" s="449"/>
      <c r="D91" s="603" t="s">
        <v>875</v>
      </c>
      <c r="E91" s="661" t="s">
        <v>915</v>
      </c>
      <c r="F91" s="598" t="s">
        <v>857</v>
      </c>
      <c r="G91" s="662"/>
      <c r="H91" s="954"/>
      <c r="I91" s="662"/>
      <c r="J91" s="954"/>
      <c r="K91" s="227"/>
      <c r="X91" s="694">
        <v>0</v>
      </c>
    </row>
    <row r="92" spans="1:24" s="1563" customFormat="1" ht="11.25" hidden="1" customHeight="1">
      <c r="A92" s="2301"/>
      <c r="B92" s="449"/>
      <c r="D92" s="603" t="s">
        <v>877</v>
      </c>
      <c r="E92" s="661" t="s">
        <v>917</v>
      </c>
      <c r="F92" s="598" t="s">
        <v>857</v>
      </c>
      <c r="G92" s="662"/>
      <c r="H92" s="954"/>
      <c r="I92" s="662"/>
      <c r="J92" s="954"/>
      <c r="K92" s="227"/>
      <c r="X92" s="694">
        <v>0</v>
      </c>
    </row>
    <row r="93" spans="1:24" s="1563" customFormat="1" ht="11.25" hidden="1" customHeight="1">
      <c r="A93" s="2301"/>
      <c r="B93" s="449"/>
      <c r="D93" s="603" t="s">
        <v>924</v>
      </c>
      <c r="E93" s="661" t="s">
        <v>919</v>
      </c>
      <c r="F93" s="598" t="s">
        <v>857</v>
      </c>
      <c r="G93" s="662"/>
      <c r="H93" s="954"/>
      <c r="I93" s="662"/>
      <c r="J93" s="954"/>
      <c r="K93" s="227"/>
      <c r="X93" s="694">
        <v>0</v>
      </c>
    </row>
    <row r="94" spans="1:24" s="1563" customFormat="1" ht="11.25" hidden="1" customHeight="1">
      <c r="A94" s="2301"/>
      <c r="B94" s="449"/>
      <c r="D94" s="603" t="s">
        <v>925</v>
      </c>
      <c r="E94" s="661" t="s">
        <v>921</v>
      </c>
      <c r="F94" s="598" t="s">
        <v>857</v>
      </c>
      <c r="G94" s="662"/>
      <c r="H94" s="954"/>
      <c r="I94" s="662"/>
      <c r="J94" s="954"/>
      <c r="K94" s="227"/>
      <c r="X94" s="694">
        <v>0</v>
      </c>
    </row>
    <row r="95" spans="1:24" s="1563" customFormat="1" ht="24.75" hidden="1" customHeight="1">
      <c r="A95" s="2301"/>
      <c r="B95" s="449"/>
      <c r="D95" s="603" t="s">
        <v>110</v>
      </c>
      <c r="E95" s="604" t="s">
        <v>926</v>
      </c>
      <c r="F95" s="663" t="s">
        <v>556</v>
      </c>
      <c r="G95" s="665"/>
      <c r="H95" s="954"/>
      <c r="I95" s="665"/>
      <c r="J95" s="954"/>
      <c r="K95" s="227" t="s">
        <v>927</v>
      </c>
      <c r="X95" s="694">
        <v>0</v>
      </c>
    </row>
    <row r="96" spans="1:24" s="1563" customFormat="1" ht="33.75" hidden="1" customHeight="1">
      <c r="A96" s="2301"/>
      <c r="B96" s="449"/>
      <c r="D96" s="603" t="s">
        <v>91</v>
      </c>
      <c r="E96" s="604" t="s">
        <v>928</v>
      </c>
      <c r="F96" s="664" t="s">
        <v>818</v>
      </c>
      <c r="G96" s="666"/>
      <c r="H96" s="954"/>
      <c r="I96" s="666"/>
      <c r="J96" s="954"/>
      <c r="K96" s="227"/>
      <c r="X96" s="694">
        <v>0</v>
      </c>
    </row>
    <row r="97" spans="1:24" s="1563" customFormat="1" ht="22.5" hidden="1" customHeight="1">
      <c r="A97" s="2301"/>
      <c r="B97" s="449" t="s">
        <v>586</v>
      </c>
      <c r="D97" s="603" t="s">
        <v>92</v>
      </c>
      <c r="E97" s="604" t="s">
        <v>929</v>
      </c>
      <c r="F97" s="664" t="s">
        <v>304</v>
      </c>
      <c r="G97" s="323"/>
      <c r="H97" s="954"/>
      <c r="I97" s="323"/>
      <c r="J97" s="954"/>
      <c r="K97" s="227" t="s">
        <v>629</v>
      </c>
      <c r="X97" s="694">
        <v>0</v>
      </c>
    </row>
    <row r="98" spans="1:24" s="1563" customFormat="1" ht="45" hidden="1" customHeight="1">
      <c r="A98" s="2301"/>
      <c r="B98" s="449" t="s">
        <v>586</v>
      </c>
      <c r="D98" s="603" t="s">
        <v>930</v>
      </c>
      <c r="E98" s="605" t="s">
        <v>931</v>
      </c>
      <c r="F98" s="659" t="s">
        <v>304</v>
      </c>
      <c r="G98" s="323"/>
      <c r="H98" s="954"/>
      <c r="I98" s="323"/>
      <c r="J98" s="954"/>
      <c r="K98" s="227" t="s">
        <v>629</v>
      </c>
      <c r="X98" s="694">
        <v>0</v>
      </c>
    </row>
    <row r="99" spans="1:24" s="1563" customFormat="1" ht="95.25" hidden="1" customHeight="1">
      <c r="A99" s="2301"/>
      <c r="B99" s="449" t="s">
        <v>586</v>
      </c>
      <c r="D99" s="603" t="s">
        <v>111</v>
      </c>
      <c r="E99" s="604" t="s">
        <v>932</v>
      </c>
      <c r="F99" s="659" t="s">
        <v>304</v>
      </c>
      <c r="G99" s="323"/>
      <c r="H99" s="954"/>
      <c r="I99" s="323"/>
      <c r="J99" s="954"/>
      <c r="K99" s="227" t="s">
        <v>629</v>
      </c>
      <c r="X99" s="694">
        <v>0</v>
      </c>
    </row>
    <row r="100" spans="1:24" s="1563" customFormat="1" ht="22.5" hidden="1" customHeight="1">
      <c r="A100" s="2301"/>
      <c r="B100" s="449" t="s">
        <v>586</v>
      </c>
      <c r="D100" s="603" t="s">
        <v>148</v>
      </c>
      <c r="E100" s="604" t="s">
        <v>933</v>
      </c>
      <c r="F100" s="659" t="s">
        <v>304</v>
      </c>
      <c r="G100" s="323"/>
      <c r="H100" s="954"/>
      <c r="I100" s="323"/>
      <c r="J100" s="954"/>
      <c r="K100" s="227" t="s">
        <v>629</v>
      </c>
      <c r="X100" s="694">
        <v>0</v>
      </c>
    </row>
    <row r="101" spans="1:24" s="1563" customFormat="1" ht="11.45" customHeight="1">
      <c r="A101" s="964"/>
      <c r="B101" s="456"/>
      <c r="D101" s="965"/>
      <c r="E101" s="966"/>
      <c r="X101" s="447">
        <v>11</v>
      </c>
    </row>
    <row r="102" spans="1:24" ht="22.5" hidden="1" customHeight="1">
      <c r="A102" s="474" t="s">
        <v>81</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25.7109375" style="1563" hidden="1" customWidth="1"/>
    <col min="8" max="8" width="33.7109375" style="1563" hidden="1" customWidth="1"/>
    <col min="9" max="9" width="25.7109375" style="1563" customWidth="1"/>
    <col min="10" max="10" width="33" style="1563" customWidth="1"/>
    <col min="11" max="11" width="93"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302"/>
      <c r="C3" s="2303" t="s">
        <v>687</v>
      </c>
      <c r="D3" s="627" t="str">
        <f>B3&amp;".1"</f>
        <v>.1</v>
      </c>
      <c r="E3" s="628" t="s">
        <v>934</v>
      </c>
      <c r="F3" s="629" t="s">
        <v>304</v>
      </c>
      <c r="G3" s="624"/>
      <c r="H3" s="339"/>
      <c r="I3" s="624"/>
      <c r="J3" s="339"/>
      <c r="K3" s="227" t="s">
        <v>935</v>
      </c>
      <c r="V3" s="443">
        <v>0</v>
      </c>
    </row>
    <row r="4" spans="1:22" ht="15" hidden="1" customHeight="1">
      <c r="A4" s="443"/>
      <c r="B4" s="2302"/>
      <c r="C4" s="2303"/>
      <c r="D4" s="627" t="str">
        <f>B3&amp;".2"</f>
        <v>.2</v>
      </c>
      <c r="E4" s="628" t="s">
        <v>936</v>
      </c>
      <c r="F4" s="629" t="s">
        <v>304</v>
      </c>
      <c r="G4" s="1665" t="s">
        <v>22</v>
      </c>
      <c r="H4" s="339"/>
      <c r="I4" s="1665" t="s">
        <v>22</v>
      </c>
      <c r="J4" s="339"/>
      <c r="K4" s="227" t="s">
        <v>937</v>
      </c>
      <c r="V4" s="443">
        <v>0</v>
      </c>
    </row>
    <row r="5" spans="1:22" s="1294" customFormat="1" ht="15" hidden="1" customHeight="1">
      <c r="C5" s="610"/>
      <c r="U5" s="358"/>
      <c r="V5" s="355">
        <v>0</v>
      </c>
    </row>
    <row r="6" spans="1:22" ht="22.5" hidden="1" customHeight="1">
      <c r="A6" s="443"/>
      <c r="B6" s="2302"/>
      <c r="C6" s="2303" t="s">
        <v>687</v>
      </c>
      <c r="D6" s="627" t="str">
        <f>B6&amp;".1"</f>
        <v>.1</v>
      </c>
      <c r="E6" s="628" t="s">
        <v>938</v>
      </c>
      <c r="F6" s="629" t="s">
        <v>304</v>
      </c>
      <c r="G6" s="624"/>
      <c r="H6" s="339"/>
      <c r="I6" s="624"/>
      <c r="J6" s="339"/>
      <c r="K6" s="227" t="s">
        <v>939</v>
      </c>
      <c r="V6" s="443">
        <v>0</v>
      </c>
    </row>
    <row r="7" spans="1:22" ht="15" hidden="1" customHeight="1">
      <c r="A7" s="443"/>
      <c r="B7" s="2302"/>
      <c r="C7" s="2303"/>
      <c r="D7" s="627" t="str">
        <f>B6&amp;".2"</f>
        <v>.2</v>
      </c>
      <c r="E7" s="628" t="s">
        <v>936</v>
      </c>
      <c r="F7" s="629" t="s">
        <v>304</v>
      </c>
      <c r="G7" s="1665" t="s">
        <v>22</v>
      </c>
      <c r="H7" s="339"/>
      <c r="I7" s="1665" t="s">
        <v>22</v>
      </c>
      <c r="J7" s="339"/>
      <c r="K7" s="227" t="s">
        <v>937</v>
      </c>
      <c r="V7" s="443">
        <v>0</v>
      </c>
    </row>
    <row r="8" spans="1:22" s="1294" customFormat="1" ht="15" hidden="1" customHeight="1">
      <c r="C8" s="610"/>
      <c r="U8" s="358"/>
      <c r="V8" s="355">
        <v>0</v>
      </c>
    </row>
    <row r="9" spans="1:22" ht="22.5" hidden="1" customHeight="1">
      <c r="A9" s="443"/>
      <c r="B9" s="2302"/>
      <c r="C9" s="2303" t="s">
        <v>687</v>
      </c>
      <c r="D9" s="627" t="str">
        <f>B9&amp;".1"</f>
        <v>.1</v>
      </c>
      <c r="E9" s="628" t="s">
        <v>940</v>
      </c>
      <c r="F9" s="629" t="s">
        <v>304</v>
      </c>
      <c r="G9" s="635" t="s">
        <v>22</v>
      </c>
      <c r="H9" s="339" t="s">
        <v>22</v>
      </c>
      <c r="I9" s="635" t="s">
        <v>22</v>
      </c>
      <c r="J9" s="339" t="s">
        <v>22</v>
      </c>
      <c r="K9" s="227"/>
      <c r="V9" s="443">
        <v>0</v>
      </c>
    </row>
    <row r="10" spans="1:22" ht="15" hidden="1" customHeight="1">
      <c r="A10" s="443"/>
      <c r="B10" s="2302"/>
      <c r="C10" s="2303"/>
      <c r="D10" s="627" t="str">
        <f>B9&amp;".2"</f>
        <v>.2</v>
      </c>
      <c r="E10" s="628" t="s">
        <v>941</v>
      </c>
      <c r="F10" s="629" t="s">
        <v>304</v>
      </c>
      <c r="G10" s="1659" t="s">
        <v>22</v>
      </c>
      <c r="H10" s="339" t="s">
        <v>22</v>
      </c>
      <c r="I10" s="1659" t="s">
        <v>22</v>
      </c>
      <c r="J10" s="339" t="s">
        <v>22</v>
      </c>
      <c r="K10" s="227" t="s">
        <v>942</v>
      </c>
      <c r="V10" s="443">
        <v>0</v>
      </c>
    </row>
    <row r="11" spans="1:22" ht="15" hidden="1" customHeight="1">
      <c r="A11" s="443"/>
      <c r="B11" s="2302"/>
      <c r="C11" s="2303"/>
      <c r="D11" s="627" t="str">
        <f>B9&amp;".3"</f>
        <v>.3</v>
      </c>
      <c r="E11" s="628" t="s">
        <v>943</v>
      </c>
      <c r="F11" s="629" t="s">
        <v>304</v>
      </c>
      <c r="G11" s="1659" t="s">
        <v>22</v>
      </c>
      <c r="H11" s="339" t="s">
        <v>22</v>
      </c>
      <c r="I11" s="1659" t="s">
        <v>22</v>
      </c>
      <c r="J11" s="339" t="s">
        <v>22</v>
      </c>
      <c r="K11" s="227" t="s">
        <v>944</v>
      </c>
      <c r="V11" s="443">
        <v>0</v>
      </c>
    </row>
    <row r="12" spans="1:22" s="1294" customFormat="1" ht="15" hidden="1" customHeight="1">
      <c r="C12" s="610"/>
      <c r="U12" s="358"/>
      <c r="V12" s="355">
        <v>0</v>
      </c>
    </row>
    <row r="13" spans="1:22" ht="33.75" hidden="1" customHeight="1">
      <c r="A13" s="443"/>
      <c r="B13" s="2302"/>
      <c r="C13" s="2303" t="s">
        <v>687</v>
      </c>
      <c r="D13" s="627" t="str">
        <f>B13&amp;".1"</f>
        <v>.1</v>
      </c>
      <c r="E13" s="628" t="s">
        <v>945</v>
      </c>
      <c r="F13" s="629" t="s">
        <v>304</v>
      </c>
      <c r="G13" s="635" t="s">
        <v>22</v>
      </c>
      <c r="H13" s="339" t="s">
        <v>22</v>
      </c>
      <c r="I13" s="635" t="s">
        <v>22</v>
      </c>
      <c r="J13" s="339" t="s">
        <v>22</v>
      </c>
      <c r="K13" s="227" t="s">
        <v>946</v>
      </c>
      <c r="V13" s="443">
        <v>0</v>
      </c>
    </row>
    <row r="14" spans="1:22" ht="15" hidden="1" customHeight="1">
      <c r="B14" s="2302"/>
      <c r="C14" s="2303"/>
      <c r="D14" s="627" t="str">
        <f>B13&amp;".2"</f>
        <v>.2</v>
      </c>
      <c r="E14" s="628" t="s">
        <v>947</v>
      </c>
      <c r="F14" s="629" t="s">
        <v>304</v>
      </c>
      <c r="G14" s="1659" t="s">
        <v>22</v>
      </c>
      <c r="H14" s="339" t="s">
        <v>22</v>
      </c>
      <c r="I14" s="1659" t="s">
        <v>22</v>
      </c>
      <c r="J14" s="339" t="s">
        <v>22</v>
      </c>
      <c r="K14" s="227" t="s">
        <v>948</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17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75"/>
      <c r="F22" s="2175"/>
      <c r="G22" s="2175"/>
      <c r="H22" s="2175"/>
      <c r="I22" s="2175"/>
      <c r="J22" s="614"/>
      <c r="K22" s="475"/>
      <c r="V22" s="443">
        <v>22</v>
      </c>
    </row>
    <row r="23" spans="1:22" ht="15.75" customHeight="1">
      <c r="C23" s="114"/>
      <c r="D23" s="2147" t="str">
        <f>IF(org=0,"Не определено",org)</f>
        <v>ООО "Профит"</v>
      </c>
      <c r="E23" s="2147"/>
      <c r="F23" s="2147"/>
      <c r="G23" s="2147"/>
      <c r="H23" s="2147"/>
      <c r="I23" s="2147"/>
      <c r="J23" s="614"/>
      <c r="K23" s="475"/>
      <c r="V23" s="443">
        <v>15</v>
      </c>
    </row>
    <row r="24" spans="1:22" ht="15.75" customHeight="1">
      <c r="C24" s="114"/>
      <c r="D24" s="447"/>
      <c r="E24" s="447"/>
      <c r="F24" s="447"/>
      <c r="G24" s="475">
        <v>22</v>
      </c>
      <c r="H24" s="690"/>
      <c r="I24" s="475">
        <v>22</v>
      </c>
      <c r="J24" s="690"/>
      <c r="V24" s="443">
        <v>15</v>
      </c>
    </row>
    <row r="25" spans="1:22" s="1563" customFormat="1" ht="1.1499999999999999" customHeight="1">
      <c r="A25" s="695"/>
      <c r="C25" s="114"/>
      <c r="D25" s="447"/>
      <c r="E25" s="447"/>
      <c r="F25" s="447"/>
      <c r="G25" s="475"/>
      <c r="H25" s="690"/>
      <c r="I25" s="475" t="s">
        <v>116</v>
      </c>
      <c r="J25" s="690"/>
      <c r="K25" s="355"/>
      <c r="U25" s="613"/>
      <c r="V25" s="694">
        <v>1</v>
      </c>
    </row>
    <row r="26" spans="1:22" ht="15.75" customHeight="1">
      <c r="C26" s="114"/>
      <c r="D26" s="649"/>
      <c r="E26" s="2289" t="s">
        <v>104</v>
      </c>
      <c r="F26" s="2290"/>
      <c r="G26" s="2304" t="str">
        <f>IF(G25="","",INDEX(DIFFERENTIATION_UNMERGE_VD,MATCH(G25,DIFFERENTIATION_ID_DIFF,0)))</f>
        <v/>
      </c>
      <c r="H26" s="2305"/>
      <c r="I26" s="2304" t="str">
        <f>IF(I25="","",INDEX(DIFFERENTIATION_UNMERGE_VD,MATCH(I25,DIFFERENTIATION_ID_DIFF,0)))</f>
        <v>Транспортировка. Питьевая вода</v>
      </c>
      <c r="J26" s="2305"/>
      <c r="K26" s="2125" t="s">
        <v>299</v>
      </c>
      <c r="V26" s="443">
        <v>15</v>
      </c>
    </row>
    <row r="27" spans="1:22" s="1563" customFormat="1" ht="15.75" customHeight="1">
      <c r="A27" s="695"/>
      <c r="C27" s="114"/>
      <c r="D27" s="649"/>
      <c r="E27" s="2289" t="s">
        <v>562</v>
      </c>
      <c r="F27" s="2290"/>
      <c r="G27" s="2304" t="str">
        <f>IF(G25="","",INDEX(DIFFERENTIATION_UNMERGE_AREA,MATCH(G25,DIFFERENTIATION_ID_DIFF,0)))</f>
        <v/>
      </c>
      <c r="H27" s="2305"/>
      <c r="I27" s="2304" t="str">
        <f>IF(I25="","",INDEX(DIFFERENTIATION_UNMERGE_AREA,MATCH(I25,DIFFERENTIATION_ID_DIFF,0)))</f>
        <v>Территория 1</v>
      </c>
      <c r="J27" s="2305"/>
      <c r="K27" s="2129"/>
      <c r="U27" s="613"/>
      <c r="V27" s="694">
        <v>15</v>
      </c>
    </row>
    <row r="28" spans="1:22" s="1563" customFormat="1" ht="15.75" customHeight="1">
      <c r="A28" s="695"/>
      <c r="C28" s="114"/>
      <c r="D28" s="649"/>
      <c r="E28" s="2289" t="s">
        <v>563</v>
      </c>
      <c r="F28" s="2290"/>
      <c r="G28" s="2304" t="str">
        <f>IF(G25="","",INDEX(DIFFERENTIATION_UNMERGE_SYSTEM,MATCH(G25,DIFFERENTIATION_ID_DIFF,0)))</f>
        <v/>
      </c>
      <c r="H28" s="2305"/>
      <c r="I28" s="2304" t="str">
        <f>IF(I25="","",INDEX(DIFFERENTIATION_UNMERGE_SYSTEM,MATCH(I25,DIFFERENTIATION_ID_DIFF,0)))</f>
        <v>без дифференциации</v>
      </c>
      <c r="J28" s="2305"/>
      <c r="K28" s="2129"/>
      <c r="U28" s="613"/>
      <c r="V28" s="694">
        <v>15</v>
      </c>
    </row>
    <row r="29" spans="1:22" s="1563" customFormat="1" ht="15.75" customHeight="1">
      <c r="A29" s="695"/>
      <c r="C29" s="114"/>
      <c r="D29" s="2291" t="s">
        <v>298</v>
      </c>
      <c r="E29" s="2292"/>
      <c r="F29" s="2292"/>
      <c r="G29" s="818"/>
      <c r="H29" s="818"/>
      <c r="I29" s="818"/>
      <c r="J29" s="819"/>
      <c r="K29" s="2129"/>
      <c r="U29" s="613"/>
      <c r="V29" s="694">
        <v>15</v>
      </c>
    </row>
    <row r="30" spans="1:22" ht="35.65" customHeight="1">
      <c r="C30" s="114"/>
      <c r="D30" s="697" t="s">
        <v>87</v>
      </c>
      <c r="E30" s="696" t="s">
        <v>300</v>
      </c>
      <c r="F30" s="696" t="s">
        <v>564</v>
      </c>
      <c r="G30" s="740" t="s">
        <v>301</v>
      </c>
      <c r="H30" s="739" t="s">
        <v>388</v>
      </c>
      <c r="I30" s="622" t="s">
        <v>301</v>
      </c>
      <c r="J30" s="403" t="s">
        <v>388</v>
      </c>
      <c r="K30" s="2132"/>
      <c r="V30" s="443">
        <v>34</v>
      </c>
    </row>
    <row r="31" spans="1:22" ht="15" hidden="1" customHeight="1">
      <c r="C31" s="114"/>
      <c r="D31" s="531"/>
      <c r="E31" s="531"/>
      <c r="F31" s="531"/>
      <c r="G31" s="597"/>
      <c r="H31" s="597"/>
      <c r="I31" s="597"/>
      <c r="J31" s="597"/>
      <c r="K31" s="227"/>
      <c r="V31" s="443">
        <v>0</v>
      </c>
    </row>
    <row r="32" spans="1:22" ht="24" customHeight="1">
      <c r="A32" s="443"/>
      <c r="B32" s="443" t="s">
        <v>949</v>
      </c>
      <c r="C32" s="464"/>
      <c r="D32" s="630">
        <v>1</v>
      </c>
      <c r="E32" s="631" t="s">
        <v>950</v>
      </c>
      <c r="F32" s="629" t="s">
        <v>304</v>
      </c>
      <c r="G32" s="745" t="s">
        <v>304</v>
      </c>
      <c r="H32" s="745" t="s">
        <v>304</v>
      </c>
      <c r="I32" s="629" t="s">
        <v>304</v>
      </c>
      <c r="J32" s="629" t="s">
        <v>304</v>
      </c>
      <c r="K32" s="227"/>
      <c r="V32" s="443">
        <v>23</v>
      </c>
    </row>
    <row r="33" spans="1:22" ht="11.45" customHeight="1">
      <c r="A33" s="443"/>
      <c r="C33" s="443"/>
      <c r="D33" s="285"/>
      <c r="E33" s="518" t="s">
        <v>584</v>
      </c>
      <c r="F33" s="510"/>
      <c r="G33" s="510"/>
      <c r="H33" s="510"/>
      <c r="I33" s="510"/>
      <c r="J33" s="510"/>
      <c r="K33" s="511"/>
      <c r="U33" s="443"/>
      <c r="V33" s="443">
        <v>11</v>
      </c>
    </row>
    <row r="34" spans="1:22" ht="24" customHeight="1">
      <c r="A34" s="443"/>
      <c r="B34" s="519" t="s">
        <v>634</v>
      </c>
      <c r="C34" s="464"/>
      <c r="D34" s="630">
        <v>2</v>
      </c>
      <c r="E34" s="631" t="s">
        <v>951</v>
      </c>
      <c r="F34" s="752" t="s">
        <v>304</v>
      </c>
      <c r="G34" s="752" t="s">
        <v>304</v>
      </c>
      <c r="H34" s="752" t="s">
        <v>304</v>
      </c>
      <c r="I34" s="629"/>
      <c r="J34" s="629"/>
      <c r="K34" s="227"/>
      <c r="V34" s="443">
        <v>23</v>
      </c>
    </row>
    <row r="35" spans="1:22" ht="11.45" customHeight="1">
      <c r="A35" s="443"/>
      <c r="C35" s="443"/>
      <c r="D35" s="285"/>
      <c r="E35" s="518" t="s">
        <v>952</v>
      </c>
      <c r="F35" s="510"/>
      <c r="G35" s="632"/>
      <c r="H35" s="510"/>
      <c r="I35" s="632"/>
      <c r="J35" s="510"/>
      <c r="K35" s="511"/>
      <c r="U35" s="443"/>
      <c r="V35" s="443">
        <v>11</v>
      </c>
    </row>
    <row r="36" spans="1:22" ht="71.25" customHeight="1">
      <c r="A36" s="443"/>
      <c r="B36" s="443" t="s">
        <v>953</v>
      </c>
      <c r="C36" s="464"/>
      <c r="D36" s="630">
        <v>3</v>
      </c>
      <c r="E36" s="631" t="s">
        <v>954</v>
      </c>
      <c r="F36" s="633" t="s">
        <v>304</v>
      </c>
      <c r="G36" s="746" t="s">
        <v>955</v>
      </c>
      <c r="H36" s="745" t="s">
        <v>304</v>
      </c>
      <c r="I36" s="462" t="s">
        <v>955</v>
      </c>
      <c r="J36" s="629" t="s">
        <v>304</v>
      </c>
      <c r="K36" s="227" t="s">
        <v>956</v>
      </c>
      <c r="V36" s="443">
        <v>68</v>
      </c>
    </row>
    <row r="37" spans="1:22" ht="11.45" customHeight="1">
      <c r="A37" s="443"/>
      <c r="C37" s="443"/>
      <c r="D37" s="285"/>
      <c r="E37" s="518" t="s">
        <v>957</v>
      </c>
      <c r="F37" s="510"/>
      <c r="G37" s="632"/>
      <c r="H37" s="632"/>
      <c r="I37" s="632"/>
      <c r="J37" s="632"/>
      <c r="K37" s="511"/>
      <c r="U37" s="443"/>
      <c r="V37" s="443">
        <v>11</v>
      </c>
    </row>
    <row r="38" spans="1:22" ht="71.25" customHeight="1">
      <c r="A38" s="443"/>
      <c r="B38" s="443" t="s">
        <v>958</v>
      </c>
      <c r="C38" s="464"/>
      <c r="D38" s="630">
        <v>4</v>
      </c>
      <c r="E38" s="631" t="s">
        <v>959</v>
      </c>
      <c r="F38" s="633" t="s">
        <v>304</v>
      </c>
      <c r="G38" s="746" t="s">
        <v>955</v>
      </c>
      <c r="H38" s="747" t="s">
        <v>304</v>
      </c>
      <c r="I38" s="462" t="s">
        <v>955</v>
      </c>
      <c r="J38" s="459" t="s">
        <v>304</v>
      </c>
      <c r="K38" s="617" t="s">
        <v>960</v>
      </c>
      <c r="V38" s="443">
        <v>68</v>
      </c>
    </row>
    <row r="39" spans="1:22" ht="11.45" customHeight="1">
      <c r="A39" s="443"/>
      <c r="C39" s="443"/>
      <c r="D39" s="285"/>
      <c r="E39" s="518" t="s">
        <v>961</v>
      </c>
      <c r="F39" s="510"/>
      <c r="G39" s="510"/>
      <c r="H39" s="634"/>
      <c r="I39" s="510"/>
      <c r="J39" s="634"/>
      <c r="K39" s="511"/>
      <c r="U39" s="443"/>
      <c r="V39" s="443">
        <v>11</v>
      </c>
    </row>
    <row r="40" spans="1:22" ht="22.5" hidden="1" customHeight="1">
      <c r="A40" s="387" t="s">
        <v>81</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4" hidden="1" customWidth="1"/>
    <col min="4" max="4" width="6.71093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406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962</v>
      </c>
      <c r="H3" s="1084"/>
      <c r="AE3" s="695">
        <v>0</v>
      </c>
    </row>
    <row r="4" spans="1:31" ht="3" customHeight="1">
      <c r="AE4" s="694">
        <v>3</v>
      </c>
    </row>
    <row r="5" spans="1:31" ht="27.4" customHeight="1">
      <c r="F5" s="2175" t="str">
        <f>IP_NAME_FORM</f>
        <v>Форма 7. Информация об инвестиционных программах организации холодного водоснабжения и отчетах об их исполнении</v>
      </c>
      <c r="G5" s="2175"/>
      <c r="H5" s="2175"/>
      <c r="I5" s="2175"/>
      <c r="J5" s="2175"/>
      <c r="K5" s="2175"/>
      <c r="M5" s="520"/>
      <c r="AB5" s="837"/>
      <c r="AE5" s="694">
        <v>26</v>
      </c>
    </row>
    <row r="6" spans="1:31" s="1563" customFormat="1" ht="16.899999999999999" customHeight="1">
      <c r="A6" s="1094"/>
      <c r="B6" s="1094"/>
      <c r="C6" s="1094"/>
      <c r="D6" s="1088"/>
      <c r="F6" s="2147" t="str">
        <f>IF(org=0,"Не определено",org)</f>
        <v>ООО "Профит"</v>
      </c>
      <c r="G6" s="2147"/>
      <c r="H6" s="2147"/>
      <c r="I6" s="2147"/>
      <c r="J6" s="2147"/>
      <c r="K6" s="2147"/>
      <c r="M6" s="520"/>
      <c r="AB6" s="1076"/>
      <c r="AE6" s="1559">
        <v>16</v>
      </c>
    </row>
    <row r="7" spans="1:31" ht="10.5" customHeight="1">
      <c r="AE7" s="694">
        <v>10</v>
      </c>
    </row>
    <row r="8" spans="1:31" ht="10.5" customHeight="1">
      <c r="A8" s="982"/>
      <c r="B8" s="982"/>
      <c r="C8" s="982"/>
      <c r="F8" s="2048" t="s">
        <v>298</v>
      </c>
      <c r="G8" s="2053"/>
      <c r="H8" s="2053"/>
      <c r="I8" s="2053"/>
      <c r="J8" s="2053"/>
      <c r="K8" s="2053"/>
      <c r="L8" s="2053"/>
      <c r="M8" s="2053"/>
      <c r="N8" s="2053"/>
      <c r="O8" s="2053"/>
      <c r="P8" s="2053"/>
      <c r="Q8" s="2053"/>
      <c r="R8" s="2053"/>
      <c r="S8" s="2053"/>
      <c r="T8" s="2053"/>
      <c r="U8" s="2053"/>
      <c r="V8" s="2053"/>
      <c r="W8" s="2053"/>
      <c r="X8" s="2053"/>
      <c r="Y8" s="2053"/>
      <c r="Z8" s="2053"/>
      <c r="AA8" s="2053"/>
      <c r="AB8" s="2047"/>
      <c r="AE8" s="694">
        <v>10</v>
      </c>
    </row>
    <row r="9" spans="1:31" ht="43.15" customHeight="1">
      <c r="A9" s="836"/>
      <c r="B9" s="836"/>
      <c r="C9" s="836"/>
      <c r="F9" s="2066" t="s">
        <v>87</v>
      </c>
      <c r="G9" s="2066" t="s">
        <v>962</v>
      </c>
      <c r="H9" s="2125" t="s">
        <v>963</v>
      </c>
      <c r="I9" s="2066" t="s">
        <v>964</v>
      </c>
      <c r="J9" s="2066" t="s">
        <v>965</v>
      </c>
      <c r="K9" s="2066" t="s">
        <v>966</v>
      </c>
      <c r="L9" s="2066" t="s">
        <v>967</v>
      </c>
      <c r="M9" s="2066" t="s">
        <v>968</v>
      </c>
      <c r="N9" s="2155" t="s">
        <v>969</v>
      </c>
      <c r="O9" s="2155"/>
      <c r="P9" s="2155"/>
      <c r="Q9" s="2208" t="s">
        <v>970</v>
      </c>
      <c r="R9" s="2209"/>
      <c r="S9" s="2209"/>
      <c r="T9" s="2210"/>
      <c r="U9" s="2208" t="s">
        <v>971</v>
      </c>
      <c r="V9" s="2209"/>
      <c r="W9" s="2209"/>
      <c r="X9" s="2210"/>
      <c r="Y9" s="2048" t="s">
        <v>972</v>
      </c>
      <c r="Z9" s="2053"/>
      <c r="AA9" s="2053"/>
      <c r="AB9" s="2047"/>
      <c r="AE9" s="694">
        <v>41</v>
      </c>
    </row>
    <row r="10" spans="1:31" ht="43.15" customHeight="1">
      <c r="A10" s="836"/>
      <c r="B10" s="836"/>
      <c r="C10" s="836"/>
      <c r="F10" s="2125"/>
      <c r="G10" s="2125"/>
      <c r="H10" s="2180"/>
      <c r="I10" s="2125"/>
      <c r="J10" s="2125"/>
      <c r="K10" s="2125"/>
      <c r="L10" s="2125"/>
      <c r="M10" s="2125"/>
      <c r="N10" s="834" t="s">
        <v>973</v>
      </c>
      <c r="O10" s="834" t="s">
        <v>974</v>
      </c>
      <c r="P10" s="835" t="s">
        <v>975</v>
      </c>
      <c r="Q10" s="846" t="s">
        <v>88</v>
      </c>
      <c r="R10" s="846" t="s">
        <v>976</v>
      </c>
      <c r="S10" s="846" t="s">
        <v>977</v>
      </c>
      <c r="T10" s="847" t="s">
        <v>978</v>
      </c>
      <c r="U10" s="846" t="s">
        <v>88</v>
      </c>
      <c r="V10" s="846" t="s">
        <v>979</v>
      </c>
      <c r="W10" s="846" t="s">
        <v>977</v>
      </c>
      <c r="X10" s="847" t="s">
        <v>978</v>
      </c>
      <c r="Y10" s="239" t="s">
        <v>980</v>
      </c>
      <c r="Z10" s="2048" t="s">
        <v>87</v>
      </c>
      <c r="AA10" s="2047"/>
      <c r="AB10" s="980" t="s">
        <v>981</v>
      </c>
      <c r="AE10" s="694">
        <v>41</v>
      </c>
    </row>
    <row r="11" spans="1:31" s="1570" customFormat="1" ht="5.25" hidden="1" customHeight="1">
      <c r="A11" s="983"/>
      <c r="B11" s="983"/>
      <c r="C11" s="983"/>
      <c r="E11" s="981"/>
      <c r="F11" s="2308" t="s">
        <v>374</v>
      </c>
      <c r="G11" s="2310"/>
      <c r="H11" s="2306"/>
      <c r="I11" s="2306"/>
      <c r="J11" s="2306"/>
      <c r="K11" s="2309"/>
      <c r="L11" s="2309"/>
      <c r="M11" s="2309"/>
      <c r="N11" s="2306"/>
      <c r="O11" s="2306"/>
      <c r="P11" s="2066"/>
      <c r="Q11" s="2135"/>
      <c r="R11" s="2135"/>
      <c r="S11" s="2135"/>
      <c r="T11" s="2306"/>
      <c r="U11" s="2135"/>
      <c r="V11" s="2135"/>
      <c r="W11" s="2135"/>
      <c r="X11" s="2306"/>
      <c r="Y11" s="2077"/>
      <c r="Z11" s="2077"/>
      <c r="AA11" s="2077"/>
      <c r="AB11" s="2077"/>
      <c r="AD11" s="449" t="s">
        <v>982</v>
      </c>
      <c r="AE11" s="449">
        <v>0</v>
      </c>
    </row>
    <row r="12" spans="1:31" s="1570" customFormat="1" ht="5.25" hidden="1" customHeight="1">
      <c r="A12" s="827"/>
      <c r="B12" s="827"/>
      <c r="C12" s="827"/>
      <c r="E12" s="456"/>
      <c r="F12" s="2308"/>
      <c r="G12" s="2310"/>
      <c r="H12" s="2306"/>
      <c r="I12" s="2306"/>
      <c r="J12" s="2306"/>
      <c r="K12" s="2309"/>
      <c r="L12" s="2309"/>
      <c r="M12" s="2309"/>
      <c r="N12" s="2306"/>
      <c r="O12" s="2306"/>
      <c r="P12" s="2066"/>
      <c r="Q12" s="2135"/>
      <c r="R12" s="2135"/>
      <c r="S12" s="2135"/>
      <c r="T12" s="2306"/>
      <c r="U12" s="2135"/>
      <c r="V12" s="2135"/>
      <c r="W12" s="2135"/>
      <c r="X12" s="2306"/>
      <c r="Y12" s="2307"/>
      <c r="Z12" s="2307"/>
      <c r="AA12" s="2307"/>
      <c r="AB12" s="2307"/>
      <c r="AE12" s="449">
        <v>0</v>
      </c>
    </row>
    <row r="13" spans="1:31" ht="10.5" customHeight="1">
      <c r="F13" s="833"/>
      <c r="G13" s="588" t="s">
        <v>983</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81</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4" hidden="1" customWidth="1"/>
    <col min="4" max="4" width="4.1406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5703125" style="1563" hidden="1" customWidth="1"/>
    <col min="31" max="31" width="15.7109375" style="1563" hidden="1" customWidth="1"/>
    <col min="32" max="34" width="16" style="1563" customWidth="1"/>
    <col min="35" max="37" width="16.7109375" style="1563" hidden="1" customWidth="1"/>
    <col min="38" max="58" width="8" style="1563" customWidth="1"/>
    <col min="59" max="59" width="9.1406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4" customHeight="1">
      <c r="F5" s="2175" t="str">
        <f>IP_NAME_FORM</f>
        <v>Форма 7. Информация об инвестиционных программах организации холодного водоснабжения и отчетах об их исполнении</v>
      </c>
      <c r="G5" s="2175"/>
      <c r="H5" s="2175"/>
      <c r="I5" s="2175"/>
      <c r="J5" s="2175"/>
      <c r="K5" s="2175"/>
      <c r="L5" s="1063"/>
      <c r="M5" s="1063"/>
      <c r="AG5" s="837"/>
      <c r="AH5" s="1076"/>
      <c r="BG5" s="694">
        <v>26</v>
      </c>
    </row>
    <row r="6" spans="1:59" ht="10.5" customHeight="1">
      <c r="F6" s="2147" t="str">
        <f>IF(org=0,"Не определено",org)</f>
        <v>ООО "Профит"</v>
      </c>
      <c r="G6" s="2147"/>
      <c r="H6" s="2147"/>
      <c r="I6" s="2147"/>
      <c r="J6" s="2147"/>
      <c r="K6" s="2147"/>
      <c r="L6" s="1064"/>
      <c r="M6" s="1064"/>
      <c r="BG6" s="694">
        <v>10</v>
      </c>
    </row>
    <row r="7" spans="1:59" ht="11.4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13" t="s">
        <v>298</v>
      </c>
      <c r="G8" s="2314"/>
      <c r="H8" s="2314"/>
      <c r="I8" s="2314"/>
      <c r="J8" s="2314"/>
      <c r="K8" s="2314"/>
      <c r="L8" s="2314"/>
      <c r="M8" s="2314"/>
      <c r="N8" s="2314"/>
      <c r="O8" s="2314"/>
      <c r="P8" s="2314"/>
      <c r="Q8" s="2314"/>
      <c r="R8" s="2314"/>
      <c r="S8" s="2314"/>
      <c r="T8" s="2314"/>
      <c r="U8" s="2314"/>
      <c r="V8" s="2314"/>
      <c r="W8" s="2314"/>
      <c r="X8" s="2314"/>
      <c r="Y8" s="2314"/>
      <c r="Z8" s="2314"/>
      <c r="AA8" s="2314"/>
      <c r="AB8" s="2314"/>
      <c r="AC8" s="2314"/>
      <c r="AD8" s="2314"/>
      <c r="AE8" s="2314"/>
      <c r="AF8" s="2314"/>
      <c r="AG8" s="2314"/>
      <c r="AH8" s="2314"/>
      <c r="AI8" s="2314"/>
      <c r="AJ8" s="2314"/>
      <c r="AK8" s="2315"/>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155" t="s">
        <v>984</v>
      </c>
      <c r="G9" s="2256" t="s">
        <v>985</v>
      </c>
      <c r="H9" s="2295"/>
      <c r="I9" s="2066" t="s">
        <v>986</v>
      </c>
      <c r="J9" s="2066"/>
      <c r="K9" s="2066" t="s">
        <v>987</v>
      </c>
      <c r="L9" s="2066"/>
      <c r="M9" s="2066"/>
      <c r="N9" s="2066"/>
      <c r="O9" s="2066"/>
      <c r="P9" s="2066"/>
      <c r="Q9" s="2066"/>
      <c r="R9" s="2066"/>
      <c r="S9" s="2066"/>
      <c r="T9" s="2066"/>
      <c r="U9" s="2066"/>
      <c r="V9" s="2066"/>
      <c r="W9" s="2066"/>
      <c r="X9" s="2066"/>
      <c r="Y9" s="2066"/>
      <c r="Z9" s="2126" t="s">
        <v>988</v>
      </c>
      <c r="AA9" s="2127"/>
      <c r="AB9" s="2066" t="s">
        <v>989</v>
      </c>
      <c r="AC9" s="2066"/>
      <c r="AD9" s="2066"/>
      <c r="AE9" s="2066"/>
      <c r="AF9" s="2125" t="s">
        <v>990</v>
      </c>
      <c r="AG9" s="2066" t="s">
        <v>991</v>
      </c>
      <c r="AH9" s="2066"/>
      <c r="AI9" s="2125" t="s">
        <v>992</v>
      </c>
      <c r="AJ9" s="2066" t="s">
        <v>993</v>
      </c>
      <c r="AK9" s="2066"/>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15" customHeight="1">
      <c r="A10" s="836"/>
      <c r="B10" s="836"/>
      <c r="C10" s="836"/>
      <c r="E10" s="843"/>
      <c r="F10" s="2155"/>
      <c r="G10" s="2257"/>
      <c r="H10" s="2159"/>
      <c r="I10" s="2066"/>
      <c r="J10" s="2066"/>
      <c r="K10" s="2066" t="s">
        <v>994</v>
      </c>
      <c r="L10" s="2048" t="s">
        <v>995</v>
      </c>
      <c r="M10" s="2047"/>
      <c r="N10" s="2066" t="s">
        <v>996</v>
      </c>
      <c r="O10" s="2066"/>
      <c r="P10" s="2066"/>
      <c r="Q10" s="2066"/>
      <c r="R10" s="2066"/>
      <c r="S10" s="2066"/>
      <c r="T10" s="2066"/>
      <c r="U10" s="2066"/>
      <c r="V10" s="2066"/>
      <c r="W10" s="2066"/>
      <c r="X10" s="2066"/>
      <c r="Y10" s="2066"/>
      <c r="Z10" s="2128"/>
      <c r="AA10" s="2129"/>
      <c r="AB10" s="2066"/>
      <c r="AC10" s="2066"/>
      <c r="AD10" s="2066"/>
      <c r="AE10" s="2066"/>
      <c r="AF10" s="2130"/>
      <c r="AG10" s="2066"/>
      <c r="AH10" s="2066"/>
      <c r="AI10" s="2130"/>
      <c r="AJ10" s="2066"/>
      <c r="AK10" s="2066"/>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15" customHeight="1">
      <c r="A11" s="1057"/>
      <c r="B11" s="1057"/>
      <c r="C11" s="1057"/>
      <c r="D11" s="1056"/>
      <c r="E11" s="1058"/>
      <c r="F11" s="2155"/>
      <c r="G11" s="2257"/>
      <c r="H11" s="2159"/>
      <c r="I11" s="2066"/>
      <c r="J11" s="2066"/>
      <c r="K11" s="2066"/>
      <c r="L11" s="2125" t="s">
        <v>997</v>
      </c>
      <c r="M11" s="2125" t="s">
        <v>998</v>
      </c>
      <c r="N11" s="2066" t="s">
        <v>999</v>
      </c>
      <c r="O11" s="2066"/>
      <c r="P11" s="2123" t="s">
        <v>980</v>
      </c>
      <c r="Q11" s="2123" t="s">
        <v>1000</v>
      </c>
      <c r="R11" s="2123" t="s">
        <v>1001</v>
      </c>
      <c r="S11" s="2123" t="s">
        <v>1002</v>
      </c>
      <c r="T11" s="2123"/>
      <c r="U11" s="2123"/>
      <c r="V11" s="2123"/>
      <c r="W11" s="2123"/>
      <c r="X11" s="2123"/>
      <c r="Y11" s="2123"/>
      <c r="Z11" s="2128"/>
      <c r="AA11" s="2129"/>
      <c r="AB11" s="2066" t="s">
        <v>1003</v>
      </c>
      <c r="AC11" s="2066"/>
      <c r="AD11" s="2048" t="s">
        <v>1004</v>
      </c>
      <c r="AE11" s="2047"/>
      <c r="AF11" s="2130"/>
      <c r="AG11" s="2066"/>
      <c r="AH11" s="2066"/>
      <c r="AI11" s="2130"/>
      <c r="AJ11" s="2066"/>
      <c r="AK11" s="2066"/>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65" customHeight="1">
      <c r="A12" s="836"/>
      <c r="B12" s="836"/>
      <c r="C12" s="836"/>
      <c r="E12" s="839"/>
      <c r="F12" s="2155"/>
      <c r="G12" s="2258"/>
      <c r="H12" s="2312"/>
      <c r="I12" s="1081" t="s">
        <v>88</v>
      </c>
      <c r="J12" s="1081" t="s">
        <v>1005</v>
      </c>
      <c r="K12" s="2066"/>
      <c r="L12" s="2180"/>
      <c r="M12" s="2180"/>
      <c r="N12" s="2066"/>
      <c r="O12" s="2066"/>
      <c r="P12" s="2123"/>
      <c r="Q12" s="2123"/>
      <c r="R12" s="2123"/>
      <c r="S12" s="1062" t="s">
        <v>85</v>
      </c>
      <c r="T12" s="1062" t="s">
        <v>86</v>
      </c>
      <c r="U12" s="1062" t="s">
        <v>84</v>
      </c>
      <c r="V12" s="1062" t="s">
        <v>1006</v>
      </c>
      <c r="W12" s="1062" t="s">
        <v>84</v>
      </c>
      <c r="X12" s="1062" t="s">
        <v>1007</v>
      </c>
      <c r="Y12" s="1062" t="s">
        <v>1008</v>
      </c>
      <c r="Z12" s="2131"/>
      <c r="AA12" s="2132"/>
      <c r="AB12" s="1069" t="s">
        <v>1009</v>
      </c>
      <c r="AC12" s="1069" t="s">
        <v>1010</v>
      </c>
      <c r="AD12" s="1069" t="s">
        <v>1009</v>
      </c>
      <c r="AE12" s="1069" t="s">
        <v>1010</v>
      </c>
      <c r="AF12" s="2180"/>
      <c r="AG12" s="1082" t="s">
        <v>1011</v>
      </c>
      <c r="AH12" s="1082" t="s">
        <v>1012</v>
      </c>
      <c r="AI12" s="2180"/>
      <c r="AJ12" s="1082" t="s">
        <v>1011</v>
      </c>
      <c r="AK12" s="1082" t="s">
        <v>1012</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1499999999999999"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1013</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11"/>
      <c r="G17" s="2311"/>
      <c r="H17" s="2311"/>
      <c r="I17" s="2311"/>
      <c r="J17" s="2311"/>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11"/>
      <c r="G18" s="2311"/>
      <c r="H18" s="2311"/>
      <c r="I18" s="2311"/>
      <c r="J18" s="2311"/>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11"/>
      <c r="G19" s="2311"/>
      <c r="H19" s="2311"/>
      <c r="I19" s="2311"/>
      <c r="J19" s="2311"/>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81</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4" hidden="1" customWidth="1"/>
    <col min="4" max="4" width="4.140625" style="1294" hidden="1" customWidth="1"/>
    <col min="5" max="5" width="3" style="1563" customWidth="1"/>
    <col min="6" max="6" width="6" style="1563" customWidth="1"/>
    <col min="7" max="7" width="60" style="1563" customWidth="1"/>
    <col min="8" max="9" width="21.7109375" style="1563" hidden="1" customWidth="1"/>
    <col min="10" max="10" width="0.140625" style="1563" customWidth="1"/>
    <col min="11" max="11" width="1" style="1563" customWidth="1"/>
    <col min="12" max="22" width="8" style="1563" customWidth="1"/>
    <col min="23" max="23" width="9.1406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4" customHeight="1">
      <c r="F5" s="2175"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75"/>
      <c r="H5" s="2175"/>
      <c r="I5" s="2175"/>
      <c r="J5" s="2175"/>
      <c r="W5" s="1083">
        <v>26</v>
      </c>
    </row>
    <row r="6" spans="1:23" ht="10.5" customHeight="1">
      <c r="F6" s="2147" t="str">
        <f>IF(org=0,"Не определено",org)</f>
        <v>ООО "Профит"</v>
      </c>
      <c r="G6" s="2147"/>
      <c r="H6" s="2147"/>
      <c r="I6" s="2147"/>
      <c r="J6" s="2147"/>
      <c r="W6" s="1083">
        <v>10</v>
      </c>
    </row>
    <row r="7" spans="1:23" ht="11.4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1500000000000004"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316" t="s">
        <v>298</v>
      </c>
      <c r="G9" s="2317"/>
      <c r="H9" s="2317"/>
      <c r="I9" s="2317"/>
      <c r="J9" s="2317"/>
      <c r="K9" s="1168"/>
      <c r="L9" s="1085"/>
      <c r="M9" s="1085"/>
      <c r="N9" s="1085"/>
      <c r="O9" s="1085"/>
      <c r="P9" s="1085"/>
      <c r="Q9" s="1085"/>
      <c r="R9" s="1085"/>
      <c r="S9" s="1085"/>
      <c r="T9" s="1085"/>
      <c r="U9" s="1085"/>
      <c r="V9" s="1085"/>
      <c r="W9" s="1083">
        <v>10</v>
      </c>
    </row>
    <row r="10" spans="1:23" ht="25.15" customHeight="1">
      <c r="E10" s="1085"/>
      <c r="F10" s="2320" t="s">
        <v>87</v>
      </c>
      <c r="G10" s="2324" t="s">
        <v>1014</v>
      </c>
      <c r="H10" s="2306" t="s">
        <v>1015</v>
      </c>
      <c r="I10" s="2306"/>
      <c r="J10" s="2306"/>
      <c r="K10" s="1161"/>
      <c r="L10" s="1085"/>
      <c r="M10" s="1085"/>
      <c r="N10" s="1085"/>
      <c r="O10" s="1085"/>
      <c r="P10" s="1085"/>
      <c r="Q10" s="1085"/>
      <c r="R10" s="1085"/>
      <c r="S10" s="1085"/>
      <c r="T10" s="1085"/>
      <c r="U10" s="1085"/>
      <c r="V10" s="1085"/>
      <c r="W10" s="1083">
        <v>24</v>
      </c>
    </row>
    <row r="11" spans="1:23" ht="25.5" customHeight="1">
      <c r="E11" s="1085"/>
      <c r="F11" s="2321"/>
      <c r="G11" s="2324"/>
      <c r="H11" s="2323" t="e">
        <f>INDEX(IP_MAIN_LIST_NAME_IP,MATCH(H8,IP_MAIN_LIST_IP_ID,0))&amp;" ("&amp;INDEX(IP_MAIN_START_DATE,MATCH(H8,IP_MAIN_LIST_IP_ID,0))&amp;"-"&amp;INDEX(IP_MAIN_END_DATE,MATCH(H8,IP_MAIN_LIST_IP_ID,0))&amp;")"</f>
        <v>#N/A</v>
      </c>
      <c r="I11" s="2323"/>
      <c r="J11" s="2323"/>
      <c r="K11" s="1161"/>
      <c r="L11" s="1085"/>
      <c r="M11" s="1085"/>
      <c r="N11" s="1085"/>
      <c r="O11" s="1085"/>
      <c r="P11" s="1085"/>
      <c r="Q11" s="1085"/>
      <c r="R11" s="1085"/>
      <c r="S11" s="1085"/>
      <c r="T11" s="1085"/>
      <c r="U11" s="1085"/>
      <c r="V11" s="1085"/>
      <c r="W11" s="1083">
        <v>24</v>
      </c>
    </row>
    <row r="12" spans="1:23" ht="10.5" customHeight="1">
      <c r="F12" s="2322"/>
      <c r="G12" s="2324"/>
      <c r="H12" s="1154" t="s">
        <v>1016</v>
      </c>
      <c r="I12" s="1160"/>
      <c r="J12" s="1154"/>
      <c r="K12" s="1162"/>
      <c r="W12" s="1083">
        <v>10</v>
      </c>
    </row>
    <row r="13" spans="1:23" ht="10.5" hidden="1" customHeight="1">
      <c r="F13" s="1154">
        <v>1</v>
      </c>
      <c r="G13" s="1154">
        <v>2</v>
      </c>
      <c r="H13" s="1154">
        <v>3</v>
      </c>
      <c r="I13" s="1154">
        <v>4</v>
      </c>
      <c r="J13" s="1154">
        <v>5</v>
      </c>
      <c r="K13" s="1162"/>
      <c r="W13" s="1083">
        <v>0</v>
      </c>
    </row>
    <row r="14" spans="1:23" ht="11.45" customHeight="1">
      <c r="F14" s="1153" t="s">
        <v>1017</v>
      </c>
      <c r="G14" s="2318" t="s">
        <v>1018</v>
      </c>
      <c r="H14" s="2318"/>
      <c r="I14" s="2318"/>
      <c r="J14" s="2318"/>
      <c r="K14" s="1162"/>
      <c r="W14" s="1083">
        <v>11</v>
      </c>
    </row>
    <row r="15" spans="1:23" ht="11.45" customHeight="1">
      <c r="F15" s="1158">
        <v>1</v>
      </c>
      <c r="G15" s="628" t="s">
        <v>1019</v>
      </c>
      <c r="H15" s="1164">
        <f t="shared" ref="H15:H36" si="0">SUM(I15:J15)</f>
        <v>0</v>
      </c>
      <c r="I15" s="1164">
        <f>SUM(I16:I27)</f>
        <v>0</v>
      </c>
      <c r="J15" s="1153"/>
      <c r="K15" s="1162"/>
      <c r="W15" s="1083">
        <v>11</v>
      </c>
    </row>
    <row r="16" spans="1:23" ht="24" customHeight="1">
      <c r="F16" s="1158" t="s">
        <v>1020</v>
      </c>
      <c r="G16" s="1165" t="s">
        <v>1021</v>
      </c>
      <c r="H16" s="1164">
        <f t="shared" si="0"/>
        <v>0</v>
      </c>
      <c r="I16" s="1163"/>
      <c r="J16" s="1153"/>
      <c r="K16" s="1162"/>
      <c r="W16" s="1083">
        <v>23</v>
      </c>
    </row>
    <row r="17" spans="6:23" ht="24" customHeight="1">
      <c r="F17" s="1158" t="s">
        <v>1022</v>
      </c>
      <c r="G17" s="1165" t="s">
        <v>1023</v>
      </c>
      <c r="H17" s="1164">
        <f t="shared" si="0"/>
        <v>0</v>
      </c>
      <c r="I17" s="1163"/>
      <c r="J17" s="1153"/>
      <c r="K17" s="1162"/>
      <c r="W17" s="1083">
        <v>23</v>
      </c>
    </row>
    <row r="18" spans="6:23" ht="35.65" customHeight="1">
      <c r="F18" s="1158" t="s">
        <v>1024</v>
      </c>
      <c r="G18" s="1165" t="s">
        <v>1025</v>
      </c>
      <c r="H18" s="1164">
        <f t="shared" si="0"/>
        <v>0</v>
      </c>
      <c r="I18" s="1163"/>
      <c r="J18" s="1153"/>
      <c r="K18" s="1162"/>
      <c r="W18" s="1083">
        <v>34</v>
      </c>
    </row>
    <row r="19" spans="6:23" ht="35.65" customHeight="1">
      <c r="F19" s="1158" t="s">
        <v>1026</v>
      </c>
      <c r="G19" s="1165" t="s">
        <v>1027</v>
      </c>
      <c r="H19" s="1164">
        <f t="shared" si="0"/>
        <v>0</v>
      </c>
      <c r="I19" s="1163"/>
      <c r="J19" s="1153"/>
      <c r="K19" s="1162"/>
      <c r="W19" s="1083">
        <v>34</v>
      </c>
    </row>
    <row r="20" spans="6:23" ht="48.2" customHeight="1">
      <c r="F20" s="1158" t="s">
        <v>1028</v>
      </c>
      <c r="G20" s="1165" t="s">
        <v>1029</v>
      </c>
      <c r="H20" s="1164">
        <f t="shared" si="0"/>
        <v>0</v>
      </c>
      <c r="I20" s="1163"/>
      <c r="J20" s="1153"/>
      <c r="K20" s="1162"/>
      <c r="W20" s="1083">
        <v>46</v>
      </c>
    </row>
    <row r="21" spans="6:23" ht="35.65" customHeight="1">
      <c r="F21" s="1158" t="s">
        <v>1030</v>
      </c>
      <c r="G21" s="1165" t="s">
        <v>1031</v>
      </c>
      <c r="H21" s="1164">
        <f t="shared" si="0"/>
        <v>0</v>
      </c>
      <c r="I21" s="1163"/>
      <c r="J21" s="1153"/>
      <c r="K21" s="1162"/>
      <c r="W21" s="1083">
        <v>34</v>
      </c>
    </row>
    <row r="22" spans="6:23" ht="35.65" customHeight="1">
      <c r="F22" s="1158" t="s">
        <v>1032</v>
      </c>
      <c r="G22" s="1165" t="s">
        <v>1033</v>
      </c>
      <c r="H22" s="1164">
        <f t="shared" si="0"/>
        <v>0</v>
      </c>
      <c r="I22" s="1163"/>
      <c r="J22" s="1153"/>
      <c r="K22" s="1162"/>
      <c r="W22" s="1083">
        <v>34</v>
      </c>
    </row>
    <row r="23" spans="6:23" ht="24" customHeight="1">
      <c r="F23" s="1158" t="s">
        <v>1034</v>
      </c>
      <c r="G23" s="1165" t="s">
        <v>1035</v>
      </c>
      <c r="H23" s="1164">
        <f t="shared" si="0"/>
        <v>0</v>
      </c>
      <c r="I23" s="1163"/>
      <c r="J23" s="1153"/>
      <c r="K23" s="1162"/>
      <c r="W23" s="1083">
        <v>23</v>
      </c>
    </row>
    <row r="24" spans="6:23" ht="24" customHeight="1">
      <c r="F24" s="1158" t="s">
        <v>1036</v>
      </c>
      <c r="G24" s="1165" t="s">
        <v>1037</v>
      </c>
      <c r="H24" s="1164">
        <f t="shared" si="0"/>
        <v>0</v>
      </c>
      <c r="I24" s="1163"/>
      <c r="J24" s="1153"/>
      <c r="K24" s="1162"/>
      <c r="W24" s="1083">
        <v>23</v>
      </c>
    </row>
    <row r="25" spans="6:23" ht="35.65" customHeight="1">
      <c r="F25" s="1158" t="s">
        <v>1038</v>
      </c>
      <c r="G25" s="1165" t="s">
        <v>1039</v>
      </c>
      <c r="H25" s="1164">
        <f t="shared" si="0"/>
        <v>0</v>
      </c>
      <c r="I25" s="1163"/>
      <c r="J25" s="1153"/>
      <c r="K25" s="1162"/>
      <c r="W25" s="1083">
        <v>34</v>
      </c>
    </row>
    <row r="26" spans="6:23" ht="35.65" customHeight="1">
      <c r="F26" s="1158" t="s">
        <v>1040</v>
      </c>
      <c r="G26" s="1165" t="s">
        <v>1041</v>
      </c>
      <c r="H26" s="1164">
        <f t="shared" si="0"/>
        <v>0</v>
      </c>
      <c r="I26" s="1163"/>
      <c r="J26" s="1153"/>
      <c r="K26" s="1162"/>
      <c r="W26" s="1083">
        <v>34</v>
      </c>
    </row>
    <row r="27" spans="6:23" ht="11.45" customHeight="1">
      <c r="F27" s="1158" t="s">
        <v>1042</v>
      </c>
      <c r="G27" s="1165" t="s">
        <v>1043</v>
      </c>
      <c r="H27" s="1164">
        <f t="shared" si="0"/>
        <v>0</v>
      </c>
      <c r="I27" s="1163"/>
      <c r="J27" s="1153"/>
      <c r="K27" s="1162"/>
      <c r="W27" s="1083">
        <v>11</v>
      </c>
    </row>
    <row r="28" spans="6:23" ht="11.45" customHeight="1">
      <c r="F28" s="1158">
        <v>2</v>
      </c>
      <c r="G28" s="628" t="s">
        <v>1044</v>
      </c>
      <c r="H28" s="1164">
        <f t="shared" si="0"/>
        <v>0</v>
      </c>
      <c r="I28" s="1164">
        <f>SUM(I29:I31)</f>
        <v>0</v>
      </c>
      <c r="J28" s="1153"/>
      <c r="K28" s="1162"/>
      <c r="W28" s="1083">
        <v>11</v>
      </c>
    </row>
    <row r="29" spans="6:23" ht="11.45" customHeight="1">
      <c r="F29" s="1158" t="s">
        <v>707</v>
      </c>
      <c r="G29" s="1165" t="s">
        <v>1045</v>
      </c>
      <c r="H29" s="1164">
        <f t="shared" si="0"/>
        <v>0</v>
      </c>
      <c r="I29" s="1163"/>
      <c r="J29" s="1153"/>
      <c r="K29" s="1162"/>
      <c r="W29" s="1083">
        <v>11</v>
      </c>
    </row>
    <row r="30" spans="6:23" ht="11.45" customHeight="1">
      <c r="F30" s="1158" t="s">
        <v>305</v>
      </c>
      <c r="G30" s="1165" t="s">
        <v>1046</v>
      </c>
      <c r="H30" s="1164">
        <f t="shared" si="0"/>
        <v>0</v>
      </c>
      <c r="I30" s="1163"/>
      <c r="J30" s="1153"/>
      <c r="K30" s="1162"/>
      <c r="W30" s="1083">
        <v>11</v>
      </c>
    </row>
    <row r="31" spans="6:23" ht="11.45" customHeight="1">
      <c r="F31" s="1158" t="s">
        <v>308</v>
      </c>
      <c r="G31" s="1165" t="s">
        <v>1047</v>
      </c>
      <c r="H31" s="1164">
        <f t="shared" si="0"/>
        <v>0</v>
      </c>
      <c r="I31" s="1163"/>
      <c r="J31" s="1153"/>
      <c r="K31" s="1162"/>
      <c r="W31" s="1083">
        <v>11</v>
      </c>
    </row>
    <row r="32" spans="6:23" ht="11.45" customHeight="1">
      <c r="F32" s="1158">
        <v>3</v>
      </c>
      <c r="G32" s="628" t="s">
        <v>1048</v>
      </c>
      <c r="H32" s="1164">
        <f t="shared" si="0"/>
        <v>0</v>
      </c>
      <c r="I32" s="1164">
        <f>SUM(I33:I34)</f>
        <v>0</v>
      </c>
      <c r="J32" s="1153"/>
      <c r="K32" s="1162"/>
      <c r="W32" s="1083">
        <v>11</v>
      </c>
    </row>
    <row r="33" spans="6:23" ht="48.2" customHeight="1">
      <c r="F33" s="1158" t="s">
        <v>322</v>
      </c>
      <c r="G33" s="1165" t="s">
        <v>1049</v>
      </c>
      <c r="H33" s="1164">
        <f t="shared" si="0"/>
        <v>0</v>
      </c>
      <c r="I33" s="1163"/>
      <c r="J33" s="1153"/>
      <c r="K33" s="1162"/>
      <c r="W33" s="1083">
        <v>46</v>
      </c>
    </row>
    <row r="34" spans="6:23" ht="11.45" customHeight="1">
      <c r="F34" s="1158" t="s">
        <v>330</v>
      </c>
      <c r="G34" s="1165" t="s">
        <v>1050</v>
      </c>
      <c r="H34" s="1164">
        <f t="shared" si="0"/>
        <v>0</v>
      </c>
      <c r="I34" s="1163"/>
      <c r="J34" s="1153"/>
      <c r="K34" s="1162"/>
      <c r="W34" s="1083">
        <v>11</v>
      </c>
    </row>
    <row r="35" spans="6:23" ht="11.45" customHeight="1">
      <c r="F35" s="1158">
        <v>4</v>
      </c>
      <c r="G35" s="628" t="s">
        <v>1051</v>
      </c>
      <c r="H35" s="1164">
        <f t="shared" si="0"/>
        <v>0</v>
      </c>
      <c r="I35" s="1163"/>
      <c r="J35" s="1153"/>
      <c r="K35" s="1162"/>
      <c r="W35" s="1083">
        <v>11</v>
      </c>
    </row>
    <row r="36" spans="6:23" ht="11.45" customHeight="1">
      <c r="F36" s="1158"/>
      <c r="G36" s="631" t="s">
        <v>1052</v>
      </c>
      <c r="H36" s="1164">
        <f t="shared" si="0"/>
        <v>0</v>
      </c>
      <c r="I36" s="1164">
        <f>SUM(I15,I28,I32,I35)</f>
        <v>0</v>
      </c>
      <c r="J36" s="1153"/>
      <c r="K36" s="1162"/>
      <c r="W36" s="1083">
        <v>11</v>
      </c>
    </row>
    <row r="37" spans="6:23" ht="29.25" customHeight="1">
      <c r="F37" s="1159" t="s">
        <v>1053</v>
      </c>
      <c r="G37" s="2319" t="s">
        <v>1054</v>
      </c>
      <c r="H37" s="2319"/>
      <c r="I37" s="2319"/>
      <c r="J37" s="2319"/>
      <c r="K37" s="1162"/>
      <c r="W37" s="1083">
        <v>28</v>
      </c>
    </row>
    <row r="38" spans="6:23" ht="24" customHeight="1">
      <c r="F38" s="1158" t="s">
        <v>108</v>
      </c>
      <c r="G38" s="628" t="s">
        <v>1055</v>
      </c>
      <c r="H38" s="1164">
        <f t="shared" ref="H38:H58" si="1">SUM(I38:J38)</f>
        <v>0</v>
      </c>
      <c r="I38" s="1164">
        <f>SUM(I39,I44,I47)</f>
        <v>0</v>
      </c>
      <c r="J38" s="1153"/>
      <c r="K38" s="1162"/>
      <c r="W38" s="1083">
        <v>23</v>
      </c>
    </row>
    <row r="39" spans="6:23" ht="11.45" customHeight="1">
      <c r="F39" s="1158" t="s">
        <v>1020</v>
      </c>
      <c r="G39" s="1165" t="s">
        <v>1019</v>
      </c>
      <c r="H39" s="1164">
        <f t="shared" si="1"/>
        <v>0</v>
      </c>
      <c r="I39" s="1164">
        <f>SUM(I40:I43)</f>
        <v>0</v>
      </c>
      <c r="J39" s="1153"/>
      <c r="K39" s="1162"/>
      <c r="W39" s="1083">
        <v>11</v>
      </c>
    </row>
    <row r="40" spans="6:23" ht="24" customHeight="1">
      <c r="F40" s="1158" t="s">
        <v>1056</v>
      </c>
      <c r="G40" s="1166" t="s">
        <v>1057</v>
      </c>
      <c r="H40" s="1164">
        <f t="shared" si="1"/>
        <v>0</v>
      </c>
      <c r="I40" s="1163"/>
      <c r="J40" s="1153"/>
      <c r="K40" s="1162"/>
      <c r="W40" s="1083">
        <v>23</v>
      </c>
    </row>
    <row r="41" spans="6:23" ht="11.45" customHeight="1">
      <c r="F41" s="1158" t="s">
        <v>1058</v>
      </c>
      <c r="G41" s="1166" t="s">
        <v>1059</v>
      </c>
      <c r="H41" s="1164">
        <f t="shared" si="1"/>
        <v>0</v>
      </c>
      <c r="I41" s="1163"/>
      <c r="J41" s="1153"/>
      <c r="K41" s="1162"/>
      <c r="W41" s="1083">
        <v>11</v>
      </c>
    </row>
    <row r="42" spans="6:23" ht="11.45" customHeight="1">
      <c r="F42" s="1158" t="s">
        <v>1060</v>
      </c>
      <c r="G42" s="1166" t="s">
        <v>1061</v>
      </c>
      <c r="H42" s="1164">
        <f t="shared" si="1"/>
        <v>0</v>
      </c>
      <c r="I42" s="1163"/>
      <c r="J42" s="1153"/>
      <c r="K42" s="1162"/>
      <c r="W42" s="1083">
        <v>11</v>
      </c>
    </row>
    <row r="43" spans="6:23" ht="35.65" customHeight="1">
      <c r="F43" s="1158" t="s">
        <v>1062</v>
      </c>
      <c r="G43" s="1166" t="s">
        <v>1063</v>
      </c>
      <c r="H43" s="1164">
        <f t="shared" si="1"/>
        <v>0</v>
      </c>
      <c r="I43" s="1163"/>
      <c r="J43" s="1153"/>
      <c r="K43" s="1162"/>
      <c r="W43" s="1083">
        <v>34</v>
      </c>
    </row>
    <row r="44" spans="6:23" ht="11.45" customHeight="1">
      <c r="F44" s="1158" t="s">
        <v>1022</v>
      </c>
      <c r="G44" s="1165" t="s">
        <v>1048</v>
      </c>
      <c r="H44" s="1164">
        <f t="shared" si="1"/>
        <v>0</v>
      </c>
      <c r="I44" s="1164">
        <f>SUM(I45:I46)</f>
        <v>0</v>
      </c>
      <c r="J44" s="1153"/>
      <c r="K44" s="1162"/>
      <c r="W44" s="1083">
        <v>11</v>
      </c>
    </row>
    <row r="45" spans="6:23" ht="48.2" customHeight="1">
      <c r="F45" s="1158" t="s">
        <v>1064</v>
      </c>
      <c r="G45" s="1166" t="s">
        <v>1049</v>
      </c>
      <c r="H45" s="1164">
        <f t="shared" si="1"/>
        <v>0</v>
      </c>
      <c r="I45" s="1163"/>
      <c r="J45" s="1153"/>
      <c r="K45" s="1162"/>
      <c r="W45" s="1083">
        <v>46</v>
      </c>
    </row>
    <row r="46" spans="6:23" ht="11.45" customHeight="1">
      <c r="F46" s="1158" t="s">
        <v>1065</v>
      </c>
      <c r="G46" s="1166" t="s">
        <v>1050</v>
      </c>
      <c r="H46" s="1164">
        <f t="shared" si="1"/>
        <v>0</v>
      </c>
      <c r="I46" s="1163"/>
      <c r="J46" s="1153"/>
      <c r="K46" s="1162"/>
      <c r="W46" s="1083">
        <v>11</v>
      </c>
    </row>
    <row r="47" spans="6:23" ht="11.45" customHeight="1">
      <c r="F47" s="1158" t="s">
        <v>1024</v>
      </c>
      <c r="G47" s="1165" t="s">
        <v>1066</v>
      </c>
      <c r="H47" s="1164">
        <f t="shared" si="1"/>
        <v>0</v>
      </c>
      <c r="I47" s="1163"/>
      <c r="J47" s="1153"/>
      <c r="K47" s="1162"/>
      <c r="W47" s="1083">
        <v>11</v>
      </c>
    </row>
    <row r="48" spans="6:23" ht="24" customHeight="1">
      <c r="F48" s="1158" t="s">
        <v>109</v>
      </c>
      <c r="G48" s="628" t="s">
        <v>1067</v>
      </c>
      <c r="H48" s="1164">
        <f t="shared" si="1"/>
        <v>0</v>
      </c>
      <c r="I48" s="1164">
        <f>SUM(I49,I54,I57)</f>
        <v>0</v>
      </c>
      <c r="J48" s="1153"/>
      <c r="K48" s="1162"/>
      <c r="W48" s="1083">
        <v>23</v>
      </c>
    </row>
    <row r="49" spans="1:23" ht="11.45" customHeight="1">
      <c r="F49" s="1158" t="s">
        <v>707</v>
      </c>
      <c r="G49" s="1165" t="s">
        <v>1019</v>
      </c>
      <c r="H49" s="1164">
        <f t="shared" si="1"/>
        <v>0</v>
      </c>
      <c r="I49" s="1164">
        <f>SUM(I50:I53)</f>
        <v>0</v>
      </c>
      <c r="J49" s="1153"/>
      <c r="K49" s="1162"/>
      <c r="W49" s="1083">
        <v>11</v>
      </c>
    </row>
    <row r="50" spans="1:23" ht="24" customHeight="1">
      <c r="F50" s="1158" t="s">
        <v>710</v>
      </c>
      <c r="G50" s="1166" t="s">
        <v>1057</v>
      </c>
      <c r="H50" s="1164">
        <f t="shared" si="1"/>
        <v>0</v>
      </c>
      <c r="I50" s="1163"/>
      <c r="J50" s="1153"/>
      <c r="K50" s="1162"/>
      <c r="W50" s="1083">
        <v>23</v>
      </c>
    </row>
    <row r="51" spans="1:23" ht="11.45" customHeight="1">
      <c r="F51" s="1158" t="s">
        <v>713</v>
      </c>
      <c r="G51" s="1166" t="s">
        <v>1059</v>
      </c>
      <c r="H51" s="1164">
        <f t="shared" si="1"/>
        <v>0</v>
      </c>
      <c r="I51" s="1163"/>
      <c r="J51" s="1153"/>
      <c r="K51" s="1162"/>
      <c r="W51" s="1083">
        <v>11</v>
      </c>
    </row>
    <row r="52" spans="1:23" ht="11.45" customHeight="1">
      <c r="F52" s="1158" t="s">
        <v>1068</v>
      </c>
      <c r="G52" s="1166" t="s">
        <v>1061</v>
      </c>
      <c r="H52" s="1164">
        <f t="shared" si="1"/>
        <v>0</v>
      </c>
      <c r="I52" s="1163"/>
      <c r="J52" s="1153"/>
      <c r="K52" s="1162"/>
      <c r="W52" s="1083">
        <v>11</v>
      </c>
    </row>
    <row r="53" spans="1:23" ht="35.65" customHeight="1">
      <c r="F53" s="1158" t="s">
        <v>1069</v>
      </c>
      <c r="G53" s="1166" t="s">
        <v>1063</v>
      </c>
      <c r="H53" s="1164">
        <f t="shared" si="1"/>
        <v>0</v>
      </c>
      <c r="I53" s="1163"/>
      <c r="J53" s="1153"/>
      <c r="K53" s="1162"/>
      <c r="W53" s="1083">
        <v>34</v>
      </c>
    </row>
    <row r="54" spans="1:23" ht="11.45" customHeight="1">
      <c r="F54" s="1158" t="s">
        <v>305</v>
      </c>
      <c r="G54" s="1165" t="s">
        <v>1048</v>
      </c>
      <c r="H54" s="1164">
        <f t="shared" si="1"/>
        <v>0</v>
      </c>
      <c r="I54" s="1164">
        <f>SUM(I55:I56)</f>
        <v>0</v>
      </c>
      <c r="J54" s="1153"/>
      <c r="K54" s="1162"/>
      <c r="W54" s="1083">
        <v>11</v>
      </c>
    </row>
    <row r="55" spans="1:23" ht="48.2" customHeight="1">
      <c r="F55" s="1158" t="s">
        <v>717</v>
      </c>
      <c r="G55" s="1166" t="s">
        <v>1049</v>
      </c>
      <c r="H55" s="1164">
        <f t="shared" si="1"/>
        <v>0</v>
      </c>
      <c r="I55" s="1163"/>
      <c r="J55" s="1153"/>
      <c r="K55" s="1162"/>
      <c r="W55" s="1083">
        <v>46</v>
      </c>
    </row>
    <row r="56" spans="1:23" ht="11.45" customHeight="1">
      <c r="F56" s="1158" t="s">
        <v>719</v>
      </c>
      <c r="G56" s="1166" t="s">
        <v>1050</v>
      </c>
      <c r="H56" s="1164">
        <f t="shared" si="1"/>
        <v>0</v>
      </c>
      <c r="I56" s="1163"/>
      <c r="J56" s="1153"/>
      <c r="K56" s="1162"/>
      <c r="W56" s="1083">
        <v>11</v>
      </c>
    </row>
    <row r="57" spans="1:23" ht="11.45" customHeight="1">
      <c r="F57" s="1158" t="s">
        <v>308</v>
      </c>
      <c r="G57" s="1165" t="s">
        <v>1066</v>
      </c>
      <c r="H57" s="1164">
        <f t="shared" si="1"/>
        <v>0</v>
      </c>
      <c r="I57" s="1163"/>
      <c r="J57" s="1153"/>
      <c r="K57" s="1162"/>
      <c r="W57" s="1083">
        <v>11</v>
      </c>
    </row>
    <row r="58" spans="1:23" ht="11.45" customHeight="1">
      <c r="F58" s="1158"/>
      <c r="G58" s="1167" t="s">
        <v>1052</v>
      </c>
      <c r="H58" s="1164">
        <f t="shared" si="1"/>
        <v>0</v>
      </c>
      <c r="I58" s="1164">
        <f>SUM(I38,I48)</f>
        <v>0</v>
      </c>
      <c r="J58" s="1153"/>
      <c r="K58" s="1162"/>
      <c r="W58" s="1083">
        <v>11</v>
      </c>
    </row>
    <row r="59" spans="1:23" ht="10.5" hidden="1" customHeight="1">
      <c r="A59" s="1094" t="s">
        <v>81</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customWidth="1"/>
    <col min="80" max="81" width="29.140625" style="994" customWidth="1"/>
    <col min="82" max="89" width="21.7109375" style="994" customWidth="1"/>
    <col min="90" max="102" width="0.7109375" style="994" customWidth="1"/>
    <col min="103" max="114" width="21.7109375" style="994" hidden="1" customWidth="1"/>
    <col min="115"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4" customHeight="1">
      <c r="B5" s="1798"/>
      <c r="E5" s="1800"/>
      <c r="F5" s="234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10"/>
      <c r="H5" s="2110"/>
      <c r="I5" s="2110"/>
      <c r="J5" s="2110"/>
      <c r="K5" s="2110"/>
      <c r="L5" s="2110"/>
      <c r="M5" s="2110"/>
      <c r="N5" s="2110"/>
      <c r="O5" s="2110"/>
      <c r="P5" s="2110"/>
      <c r="Q5" s="2110"/>
      <c r="R5" s="2110"/>
      <c r="S5" s="2110"/>
      <c r="T5" s="2110"/>
      <c r="U5" s="2110"/>
      <c r="V5" s="2110"/>
      <c r="W5" s="2110"/>
      <c r="X5" s="2110"/>
      <c r="Y5" s="2110"/>
      <c r="Z5" s="2110"/>
      <c r="AA5" s="2110"/>
      <c r="AB5" s="2110"/>
      <c r="AC5" s="2110"/>
      <c r="AD5" s="2110"/>
      <c r="AE5" s="2110"/>
      <c r="AF5" s="2110"/>
      <c r="AG5" s="2110"/>
      <c r="AH5" s="2110"/>
      <c r="AI5" s="2110"/>
      <c r="AJ5" s="2110"/>
      <c r="AK5" s="2110"/>
      <c r="AL5" s="2110"/>
      <c r="AM5" s="2110"/>
      <c r="AN5" s="2110"/>
      <c r="AO5" s="2110"/>
      <c r="AP5" s="2110"/>
      <c r="AQ5" s="2110"/>
      <c r="AR5" s="2110"/>
      <c r="AS5" s="2110"/>
      <c r="AT5" s="2110"/>
      <c r="AU5" s="2110"/>
      <c r="AV5" s="2110"/>
      <c r="AW5" s="2110"/>
      <c r="AX5" s="2110"/>
      <c r="AY5" s="2110"/>
      <c r="AZ5" s="2110"/>
      <c r="BA5" s="2110"/>
      <c r="BB5" s="2110"/>
      <c r="BC5" s="2110"/>
      <c r="BD5" s="2110"/>
      <c r="BE5" s="2110"/>
      <c r="BF5" s="2110"/>
      <c r="BG5" s="2110"/>
      <c r="BH5" s="2110"/>
      <c r="BI5" s="2110"/>
      <c r="BJ5" s="2110"/>
      <c r="BK5" s="2110"/>
      <c r="BL5" s="2110"/>
      <c r="BM5" s="2110"/>
      <c r="BN5" s="2110"/>
      <c r="BO5" s="2110"/>
      <c r="BP5" s="2110"/>
      <c r="BQ5" s="2110"/>
      <c r="BR5" s="2110"/>
      <c r="BS5" s="2110"/>
      <c r="GC5" s="1799">
        <v>26</v>
      </c>
    </row>
    <row r="6" spans="2:185" s="2003" customFormat="1" ht="18.75" customHeight="1">
      <c r="B6" s="874"/>
      <c r="E6" s="876"/>
      <c r="F6" s="2169" t="str">
        <f>IF(org=0,"Не определено",org)</f>
        <v>ООО "Профит"</v>
      </c>
      <c r="G6" s="2170"/>
      <c r="H6" s="2170"/>
      <c r="I6" s="2170"/>
      <c r="J6" s="2170"/>
      <c r="K6" s="2170"/>
      <c r="L6" s="2170"/>
      <c r="M6" s="2170"/>
      <c r="N6" s="2170"/>
      <c r="O6" s="2170"/>
      <c r="P6" s="2170"/>
      <c r="Q6" s="2170"/>
      <c r="R6" s="2170"/>
      <c r="S6" s="2170"/>
      <c r="T6" s="2170"/>
      <c r="U6" s="2170"/>
      <c r="V6" s="2170"/>
      <c r="W6" s="2170"/>
      <c r="X6" s="2170"/>
      <c r="Y6" s="2170"/>
      <c r="Z6" s="2170"/>
      <c r="AA6" s="2170"/>
      <c r="AB6" s="2170"/>
      <c r="AC6" s="2170"/>
      <c r="AD6" s="2170"/>
      <c r="AE6" s="2170"/>
      <c r="AF6" s="2170"/>
      <c r="AG6" s="2170"/>
      <c r="AH6" s="2170"/>
      <c r="AI6" s="2170"/>
      <c r="AJ6" s="2170"/>
      <c r="AK6" s="2170"/>
      <c r="AL6" s="2170"/>
      <c r="AM6" s="2170"/>
      <c r="AN6" s="2170"/>
      <c r="AO6" s="2170"/>
      <c r="AP6" s="2170"/>
      <c r="AQ6" s="2170"/>
      <c r="AR6" s="2170"/>
      <c r="AS6" s="2170"/>
      <c r="AT6" s="2170"/>
      <c r="AU6" s="2170"/>
      <c r="AV6" s="2170"/>
      <c r="AW6" s="2170"/>
      <c r="AX6" s="2170"/>
      <c r="AY6" s="2170"/>
      <c r="AZ6" s="2170"/>
      <c r="BA6" s="2170"/>
      <c r="BB6" s="2170"/>
      <c r="BC6" s="2170"/>
      <c r="BD6" s="2170"/>
      <c r="BE6" s="2170"/>
      <c r="BF6" s="2170"/>
      <c r="BG6" s="2170"/>
      <c r="BH6" s="2170"/>
      <c r="BI6" s="2170"/>
      <c r="BJ6" s="2170"/>
      <c r="BK6" s="2170"/>
      <c r="BL6" s="2170"/>
      <c r="BM6" s="2170"/>
      <c r="BN6" s="2170"/>
      <c r="BO6" s="2170"/>
      <c r="BP6" s="2170"/>
      <c r="BQ6" s="2170"/>
      <c r="BR6" s="2170"/>
      <c r="BS6" s="2170"/>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334" t="s">
        <v>1070</v>
      </c>
      <c r="P8" s="2335"/>
      <c r="Q8" s="2335"/>
      <c r="R8" s="2335"/>
      <c r="S8" s="2335"/>
      <c r="T8" s="2335"/>
      <c r="U8" s="2335"/>
      <c r="V8" s="2335"/>
      <c r="W8" s="2335"/>
      <c r="X8" s="2335"/>
      <c r="Y8" s="2335"/>
      <c r="Z8" s="2335"/>
      <c r="AA8" s="2335"/>
      <c r="AB8" s="2335"/>
      <c r="AC8" s="2335"/>
      <c r="AD8" s="2335"/>
      <c r="AE8" s="2335"/>
      <c r="AF8" s="2335"/>
      <c r="AG8" s="2335"/>
      <c r="AH8" s="2335"/>
      <c r="AI8" s="2335"/>
      <c r="AJ8" s="2335"/>
      <c r="AK8" s="2335"/>
      <c r="AL8" s="2335"/>
      <c r="AM8" s="2335"/>
      <c r="AN8" s="2335"/>
      <c r="AO8" s="2335"/>
      <c r="AP8" s="2335"/>
      <c r="AQ8" s="2335"/>
      <c r="AR8" s="2335"/>
      <c r="AS8" s="2335"/>
      <c r="AT8" s="2335"/>
      <c r="AU8" s="2335"/>
      <c r="AV8" s="2335"/>
      <c r="AW8" s="2335"/>
      <c r="AX8" s="2335"/>
      <c r="AY8" s="2335"/>
      <c r="AZ8" s="2335"/>
      <c r="BA8" s="2335"/>
      <c r="BB8" s="2335"/>
      <c r="BC8" s="2335"/>
      <c r="BD8" s="2335"/>
      <c r="BE8" s="2335"/>
      <c r="BF8" s="2335"/>
      <c r="BG8" s="2335"/>
      <c r="BH8" s="2335"/>
      <c r="BI8" s="2335"/>
      <c r="BJ8" s="2335"/>
      <c r="BK8" s="2335"/>
      <c r="BL8" s="2335"/>
      <c r="BM8" s="2335"/>
      <c r="BN8" s="2335"/>
      <c r="BO8" s="2335"/>
      <c r="BP8" s="2335"/>
      <c r="BQ8" s="2335"/>
      <c r="BR8" s="2335"/>
      <c r="BS8" s="2336"/>
      <c r="BT8" s="2337"/>
      <c r="BU8" s="2338"/>
      <c r="BV8" s="2338"/>
      <c r="BW8" s="2338"/>
      <c r="BX8" s="2338"/>
      <c r="BY8" s="2338"/>
      <c r="BZ8" s="2338"/>
      <c r="CA8" s="2338"/>
      <c r="CB8" s="2338"/>
      <c r="CC8" s="2338"/>
      <c r="CD8" s="2338"/>
      <c r="CE8" s="2338"/>
      <c r="CF8" s="2338"/>
      <c r="CG8" s="2338"/>
      <c r="CH8" s="2338"/>
      <c r="CI8" s="2338"/>
      <c r="CJ8" s="2338"/>
      <c r="CK8" s="2338"/>
      <c r="CL8" s="2338"/>
      <c r="CM8" s="2338"/>
      <c r="CN8" s="2338"/>
      <c r="CO8" s="2338"/>
      <c r="CP8" s="2338"/>
      <c r="CQ8" s="2338"/>
      <c r="CR8" s="2338"/>
      <c r="CS8" s="2338"/>
      <c r="CT8" s="2338"/>
      <c r="CU8" s="2338"/>
      <c r="CV8" s="2338"/>
      <c r="CW8" s="2338"/>
      <c r="CX8" s="2339"/>
      <c r="CY8" s="2340"/>
      <c r="CZ8" s="2341"/>
      <c r="DA8" s="2341"/>
      <c r="DB8" s="2341"/>
      <c r="DC8" s="2341"/>
      <c r="DD8" s="2341"/>
      <c r="DE8" s="2341"/>
      <c r="DF8" s="2341"/>
      <c r="DG8" s="2341"/>
      <c r="DH8" s="2341"/>
      <c r="DI8" s="2341"/>
      <c r="DJ8" s="2341"/>
      <c r="DK8" s="2341"/>
      <c r="DL8" s="2341"/>
      <c r="DM8" s="2341"/>
      <c r="DN8" s="2341"/>
      <c r="DO8" s="2341"/>
      <c r="DP8" s="2341"/>
      <c r="DQ8" s="2341"/>
      <c r="DR8" s="2341"/>
      <c r="DS8" s="2341"/>
      <c r="DT8" s="2341"/>
      <c r="DU8" s="2341"/>
      <c r="DV8" s="2341"/>
      <c r="DW8" s="2341"/>
      <c r="DX8" s="2342"/>
      <c r="DY8" s="2328" t="s">
        <v>1071</v>
      </c>
      <c r="DZ8" s="2329"/>
      <c r="EA8" s="2329"/>
      <c r="EB8" s="2329"/>
      <c r="EC8" s="2329"/>
      <c r="ED8" s="2329"/>
      <c r="EE8" s="2329"/>
      <c r="EF8" s="2329"/>
      <c r="EG8" s="2329"/>
      <c r="EH8" s="2329"/>
      <c r="EI8" s="2329"/>
      <c r="EJ8" s="2329"/>
      <c r="EK8" s="2329"/>
      <c r="EL8" s="2329"/>
      <c r="EM8" s="2329"/>
      <c r="EN8" s="2329"/>
      <c r="EO8" s="2329"/>
      <c r="EP8" s="2329"/>
      <c r="EQ8" s="2329"/>
      <c r="ER8" s="2329"/>
      <c r="ES8" s="2329"/>
      <c r="ET8" s="2329"/>
      <c r="EU8" s="2329"/>
      <c r="EV8" s="2329"/>
      <c r="EW8" s="2329"/>
      <c r="EX8" s="2329"/>
      <c r="EY8" s="2329"/>
      <c r="EZ8" s="2329"/>
      <c r="FA8" s="2329"/>
      <c r="FB8" s="2329"/>
      <c r="FC8" s="2329"/>
      <c r="FD8" s="2329"/>
      <c r="FE8" s="2329"/>
      <c r="FF8" s="2329"/>
      <c r="FG8" s="2329"/>
      <c r="FH8" s="2329"/>
      <c r="FI8" s="2329"/>
      <c r="FJ8" s="2329"/>
      <c r="FK8" s="2329"/>
      <c r="FL8" s="2329"/>
      <c r="FM8" s="2329"/>
      <c r="FN8" s="2329"/>
      <c r="FO8" s="2329"/>
      <c r="FP8" s="2329"/>
      <c r="FQ8" s="2329"/>
      <c r="FR8" s="2329"/>
      <c r="FS8" s="2329"/>
      <c r="FT8" s="2329"/>
      <c r="FU8" s="2329"/>
      <c r="FV8" s="2329"/>
      <c r="FW8" s="2330"/>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31"/>
      <c r="FX9" s="987"/>
      <c r="GC9" s="864">
        <v>0</v>
      </c>
    </row>
    <row r="10" spans="2:185" s="864" customFormat="1" ht="11.45" customHeight="1">
      <c r="B10" s="865"/>
      <c r="F10" s="2307" t="s">
        <v>298</v>
      </c>
      <c r="G10" s="2344"/>
      <c r="H10" s="2344"/>
      <c r="I10" s="2344"/>
      <c r="J10" s="2344"/>
      <c r="K10" s="2344"/>
      <c r="L10" s="2344"/>
      <c r="M10" s="2344"/>
      <c r="N10" s="2344"/>
      <c r="O10" s="2344"/>
      <c r="P10" s="2344"/>
      <c r="Q10" s="2344"/>
      <c r="R10" s="2344"/>
      <c r="S10" s="2344"/>
      <c r="T10" s="2344"/>
      <c r="U10" s="2344"/>
      <c r="V10" s="2344"/>
      <c r="W10" s="2344"/>
      <c r="X10" s="2344"/>
      <c r="Y10" s="2344"/>
      <c r="Z10" s="2344"/>
      <c r="AA10" s="2344"/>
      <c r="AB10" s="2344"/>
      <c r="AC10" s="2344"/>
      <c r="AD10" s="2344"/>
      <c r="AE10" s="2344"/>
      <c r="AF10" s="2344"/>
      <c r="AG10" s="2344"/>
      <c r="AH10" s="2344"/>
      <c r="AI10" s="2344"/>
      <c r="AJ10" s="2344"/>
      <c r="AK10" s="2344"/>
      <c r="AL10" s="2344"/>
      <c r="AM10" s="2344"/>
      <c r="AN10" s="2344"/>
      <c r="AO10" s="2344"/>
      <c r="AP10" s="2344"/>
      <c r="AQ10" s="2344"/>
      <c r="AR10" s="2344"/>
      <c r="AS10" s="2344"/>
      <c r="AT10" s="2344"/>
      <c r="AU10" s="2344"/>
      <c r="AV10" s="2344"/>
      <c r="AW10" s="2344"/>
      <c r="AX10" s="2344"/>
      <c r="AY10" s="2344"/>
      <c r="AZ10" s="2344"/>
      <c r="BA10" s="2344"/>
      <c r="BB10" s="2344"/>
      <c r="BC10" s="2344"/>
      <c r="BD10" s="2344"/>
      <c r="BE10" s="2344"/>
      <c r="BF10" s="2344"/>
      <c r="BG10" s="2344"/>
      <c r="BH10" s="2344"/>
      <c r="BI10" s="2344"/>
      <c r="BJ10" s="2344"/>
      <c r="BK10" s="2344"/>
      <c r="BL10" s="2344"/>
      <c r="BM10" s="2344"/>
      <c r="BN10" s="2344"/>
      <c r="BO10" s="2344"/>
      <c r="BP10" s="2344"/>
      <c r="BQ10" s="2344"/>
      <c r="BR10" s="2344"/>
      <c r="BS10" s="2344"/>
      <c r="BT10" s="2344"/>
      <c r="BU10" s="2344"/>
      <c r="BV10" s="2344"/>
      <c r="BW10" s="2344"/>
      <c r="BX10" s="2344"/>
      <c r="BY10" s="2344"/>
      <c r="BZ10" s="2344"/>
      <c r="CA10" s="2344"/>
      <c r="CB10" s="2344"/>
      <c r="CC10" s="2344"/>
      <c r="CD10" s="2344"/>
      <c r="CE10" s="2344"/>
      <c r="CF10" s="2344"/>
      <c r="CG10" s="2344"/>
      <c r="CH10" s="2344"/>
      <c r="CI10" s="2344"/>
      <c r="CJ10" s="2344"/>
      <c r="CK10" s="2344"/>
      <c r="CL10" s="2344"/>
      <c r="CM10" s="2344"/>
      <c r="CN10" s="2344"/>
      <c r="CO10" s="2344"/>
      <c r="CP10" s="2344"/>
      <c r="CQ10" s="2344"/>
      <c r="CR10" s="2344"/>
      <c r="CS10" s="2344"/>
      <c r="CT10" s="2344"/>
      <c r="CU10" s="2344"/>
      <c r="CV10" s="2344"/>
      <c r="CW10" s="2344"/>
      <c r="CX10" s="2344"/>
      <c r="CY10" s="2344"/>
      <c r="CZ10" s="2344"/>
      <c r="DA10" s="2344"/>
      <c r="DB10" s="2344"/>
      <c r="DC10" s="2344"/>
      <c r="DD10" s="2344"/>
      <c r="DE10" s="2344"/>
      <c r="DF10" s="2344"/>
      <c r="DG10" s="2344"/>
      <c r="DH10" s="2344"/>
      <c r="DI10" s="2344"/>
      <c r="DJ10" s="2344"/>
      <c r="DK10" s="2344"/>
      <c r="DL10" s="2344"/>
      <c r="DM10" s="2344"/>
      <c r="DN10" s="2344"/>
      <c r="DO10" s="2344"/>
      <c r="DP10" s="2344"/>
      <c r="DQ10" s="2344"/>
      <c r="DR10" s="2344"/>
      <c r="DS10" s="2344"/>
      <c r="DT10" s="2344"/>
      <c r="DU10" s="2344"/>
      <c r="DV10" s="2344"/>
      <c r="DW10" s="2344"/>
      <c r="DX10" s="2344"/>
      <c r="DY10" s="2344"/>
      <c r="DZ10" s="2344"/>
      <c r="EA10" s="2344"/>
      <c r="EB10" s="2344"/>
      <c r="EC10" s="2344"/>
      <c r="ED10" s="2344"/>
      <c r="EE10" s="2344"/>
      <c r="EF10" s="2344"/>
      <c r="EG10" s="2344"/>
      <c r="EH10" s="2344"/>
      <c r="EI10" s="2344"/>
      <c r="EJ10" s="2344"/>
      <c r="EK10" s="2344"/>
      <c r="EL10" s="2344"/>
      <c r="EM10" s="2344"/>
      <c r="EN10" s="2344"/>
      <c r="EO10" s="2344"/>
      <c r="EP10" s="2344"/>
      <c r="EQ10" s="2344"/>
      <c r="ER10" s="2344"/>
      <c r="ES10" s="2344"/>
      <c r="ET10" s="2344"/>
      <c r="EU10" s="2344"/>
      <c r="EV10" s="2344"/>
      <c r="EW10" s="2344"/>
      <c r="EX10" s="2344"/>
      <c r="EY10" s="2344"/>
      <c r="EZ10" s="2344"/>
      <c r="FA10" s="2344"/>
      <c r="FB10" s="2344"/>
      <c r="FC10" s="2344"/>
      <c r="FD10" s="2344"/>
      <c r="FE10" s="2344"/>
      <c r="FF10" s="2344"/>
      <c r="FG10" s="2344"/>
      <c r="FH10" s="2344"/>
      <c r="FI10" s="2344"/>
      <c r="FJ10" s="2344"/>
      <c r="FK10" s="2344"/>
      <c r="FL10" s="2344"/>
      <c r="FM10" s="2344"/>
      <c r="FN10" s="2344"/>
      <c r="FO10" s="2344"/>
      <c r="FP10" s="2344"/>
      <c r="FQ10" s="2344"/>
      <c r="FR10" s="2344"/>
      <c r="FS10" s="2344"/>
      <c r="FT10" s="2344"/>
      <c r="FU10" s="2344"/>
      <c r="FV10" s="2345"/>
      <c r="FW10" s="2331"/>
      <c r="FX10" s="987"/>
      <c r="GC10" s="864">
        <v>11</v>
      </c>
    </row>
    <row r="11" spans="2:185" ht="12.75" customHeight="1">
      <c r="E11" s="868"/>
      <c r="F11" s="2151" t="s">
        <v>87</v>
      </c>
      <c r="G11" s="2151" t="s">
        <v>1072</v>
      </c>
      <c r="H11" s="2151" t="s">
        <v>1073</v>
      </c>
      <c r="I11" s="2151" t="s">
        <v>1074</v>
      </c>
      <c r="J11" s="2343"/>
      <c r="K11" s="2343"/>
      <c r="L11" s="2343"/>
      <c r="M11" s="2343"/>
      <c r="N11" s="2343"/>
      <c r="O11" s="2155" t="s">
        <v>1075</v>
      </c>
      <c r="P11" s="2155"/>
      <c r="Q11" s="2155"/>
      <c r="R11" s="2155"/>
      <c r="S11" s="2155"/>
      <c r="T11" s="2155"/>
      <c r="U11" s="2155"/>
      <c r="V11" s="2155"/>
      <c r="W11" s="2155"/>
      <c r="X11" s="2155"/>
      <c r="Y11" s="2155"/>
      <c r="Z11" s="2155"/>
      <c r="AA11" s="2155"/>
      <c r="AB11" s="2155"/>
      <c r="AC11" s="2326"/>
      <c r="AD11" s="2326"/>
      <c r="AE11" s="2326"/>
      <c r="AF11" s="2326"/>
      <c r="AG11" s="2326"/>
      <c r="AH11" s="2326"/>
      <c r="AI11" s="2326"/>
      <c r="AJ11" s="2326"/>
      <c r="AK11" s="2326"/>
      <c r="AL11" s="2326"/>
      <c r="AM11" s="2326"/>
      <c r="AN11" s="2326"/>
      <c r="AO11" s="2326"/>
      <c r="AP11" s="2326"/>
      <c r="AQ11" s="2326"/>
      <c r="AR11" s="2326"/>
      <c r="AS11" s="2326"/>
      <c r="AT11" s="2326"/>
      <c r="AU11" s="2326"/>
      <c r="AV11" s="2326"/>
      <c r="AW11" s="2326"/>
      <c r="AX11" s="2326"/>
      <c r="AY11" s="2326"/>
      <c r="AZ11" s="2326"/>
      <c r="BA11" s="2326"/>
      <c r="BB11" s="2326"/>
      <c r="BC11" s="2326"/>
      <c r="BD11" s="2326"/>
      <c r="BE11" s="2326"/>
      <c r="BF11" s="2326"/>
      <c r="BG11" s="2326"/>
      <c r="BH11" s="2326"/>
      <c r="BI11" s="2326"/>
      <c r="BJ11" s="2326"/>
      <c r="BK11" s="2326"/>
      <c r="BL11" s="2326"/>
      <c r="BM11" s="2326"/>
      <c r="BN11" s="2326"/>
      <c r="BO11" s="2326"/>
      <c r="BP11" s="2326"/>
      <c r="BQ11" s="2326"/>
      <c r="BR11" s="2326"/>
      <c r="BS11" s="2327"/>
      <c r="BT11" s="2293" t="s">
        <v>1075</v>
      </c>
      <c r="BU11" s="2294"/>
      <c r="BV11" s="2294"/>
      <c r="BW11" s="2294"/>
      <c r="BX11" s="2294"/>
      <c r="BY11" s="2294"/>
      <c r="BZ11" s="2294"/>
      <c r="CA11" s="2294"/>
      <c r="CB11" s="2294"/>
      <c r="CC11" s="2294"/>
      <c r="CD11" s="2294"/>
      <c r="CE11" s="2294"/>
      <c r="CF11" s="2294"/>
      <c r="CG11" s="2294"/>
      <c r="CH11" s="2294"/>
      <c r="CI11" s="2294"/>
      <c r="CJ11" s="2294"/>
      <c r="CK11" s="2325"/>
      <c r="CL11" s="2333"/>
      <c r="CM11" s="2326"/>
      <c r="CN11" s="2326"/>
      <c r="CO11" s="2326"/>
      <c r="CP11" s="2326"/>
      <c r="CQ11" s="2326"/>
      <c r="CR11" s="2326"/>
      <c r="CS11" s="2326"/>
      <c r="CT11" s="2326"/>
      <c r="CU11" s="2326"/>
      <c r="CV11" s="2326"/>
      <c r="CW11" s="2326"/>
      <c r="CX11" s="2327"/>
      <c r="CY11" s="2293" t="s">
        <v>1075</v>
      </c>
      <c r="CZ11" s="2294"/>
      <c r="DA11" s="2294"/>
      <c r="DB11" s="2294"/>
      <c r="DC11" s="2294"/>
      <c r="DD11" s="2294"/>
      <c r="DE11" s="2294"/>
      <c r="DF11" s="2294"/>
      <c r="DG11" s="2294"/>
      <c r="DH11" s="2294"/>
      <c r="DI11" s="2294"/>
      <c r="DJ11" s="2325"/>
      <c r="DK11" s="2333"/>
      <c r="DL11" s="2326"/>
      <c r="DM11" s="2326"/>
      <c r="DN11" s="2326"/>
      <c r="DO11" s="2326"/>
      <c r="DP11" s="2326"/>
      <c r="DQ11" s="2326"/>
      <c r="DR11" s="2326"/>
      <c r="DS11" s="2326"/>
      <c r="DT11" s="2326"/>
      <c r="DU11" s="2326"/>
      <c r="DV11" s="2326"/>
      <c r="DW11" s="2326"/>
      <c r="DX11" s="2326"/>
      <c r="DY11" s="2326"/>
      <c r="DZ11" s="2326"/>
      <c r="EA11" s="2326"/>
      <c r="EB11" s="2326"/>
      <c r="EC11" s="2326"/>
      <c r="ED11" s="2326"/>
      <c r="EE11" s="2326"/>
      <c r="EF11" s="2326"/>
      <c r="EG11" s="2326"/>
      <c r="EH11" s="2326"/>
      <c r="EI11" s="2326"/>
      <c r="EJ11" s="2326"/>
      <c r="EK11" s="2326"/>
      <c r="EL11" s="2326"/>
      <c r="EM11" s="2326"/>
      <c r="EN11" s="2326"/>
      <c r="EO11" s="2326"/>
      <c r="EP11" s="2326"/>
      <c r="EQ11" s="2326"/>
      <c r="ER11" s="2326"/>
      <c r="ES11" s="2326"/>
      <c r="ET11" s="2326"/>
      <c r="EU11" s="2326"/>
      <c r="EV11" s="2326"/>
      <c r="EW11" s="2326"/>
      <c r="EX11" s="2326"/>
      <c r="EY11" s="2326"/>
      <c r="EZ11" s="2326"/>
      <c r="FA11" s="2326"/>
      <c r="FB11" s="2326"/>
      <c r="FC11" s="2326"/>
      <c r="FD11" s="2326"/>
      <c r="FE11" s="2326"/>
      <c r="FF11" s="2326"/>
      <c r="FG11" s="2326"/>
      <c r="FH11" s="2326"/>
      <c r="FI11" s="2326"/>
      <c r="FJ11" s="2326"/>
      <c r="FK11" s="2326"/>
      <c r="FL11" s="2326"/>
      <c r="FM11" s="2326"/>
      <c r="FN11" s="2326"/>
      <c r="FO11" s="2326"/>
      <c r="FP11" s="2326"/>
      <c r="FQ11" s="2326"/>
      <c r="FR11" s="2326"/>
      <c r="FS11" s="2326"/>
      <c r="FT11" s="2326"/>
      <c r="FU11" s="2326"/>
      <c r="FV11" s="2326"/>
      <c r="FW11" s="2331"/>
      <c r="FX11" s="698"/>
      <c r="GC11" s="857">
        <v>12</v>
      </c>
    </row>
    <row r="12" spans="2:185" ht="12.75" customHeight="1">
      <c r="D12" s="869"/>
      <c r="E12" s="868"/>
      <c r="F12" s="2151"/>
      <c r="G12" s="2151"/>
      <c r="H12" s="2151"/>
      <c r="I12" s="2151"/>
      <c r="J12" s="2343"/>
      <c r="K12" s="2343"/>
      <c r="L12" s="2343"/>
      <c r="M12" s="2343"/>
      <c r="N12" s="2343"/>
      <c r="O12" s="2155" t="s">
        <v>1076</v>
      </c>
      <c r="P12" s="2155"/>
      <c r="Q12" s="2155"/>
      <c r="R12" s="2155"/>
      <c r="S12" s="2155" t="s">
        <v>1077</v>
      </c>
      <c r="T12" s="2155"/>
      <c r="U12" s="2155"/>
      <c r="V12" s="2155"/>
      <c r="W12" s="2155"/>
      <c r="X12" s="2155"/>
      <c r="Y12" s="2155"/>
      <c r="Z12" s="2155"/>
      <c r="AA12" s="2155"/>
      <c r="AB12" s="2155"/>
      <c r="AC12" s="2326"/>
      <c r="AD12" s="2326"/>
      <c r="AE12" s="2326"/>
      <c r="AF12" s="2326"/>
      <c r="AG12" s="2326"/>
      <c r="AH12" s="2326"/>
      <c r="AI12" s="2326"/>
      <c r="AJ12" s="2326"/>
      <c r="AK12" s="2326"/>
      <c r="AL12" s="2326"/>
      <c r="AM12" s="2326"/>
      <c r="AN12" s="2326"/>
      <c r="AO12" s="2326"/>
      <c r="AP12" s="2326"/>
      <c r="AQ12" s="2326"/>
      <c r="AR12" s="2326"/>
      <c r="AS12" s="2326"/>
      <c r="AT12" s="2326"/>
      <c r="AU12" s="2326"/>
      <c r="AV12" s="2326"/>
      <c r="AW12" s="2326"/>
      <c r="AX12" s="2326"/>
      <c r="AY12" s="2326"/>
      <c r="AZ12" s="2326"/>
      <c r="BA12" s="2326"/>
      <c r="BB12" s="2326"/>
      <c r="BC12" s="2326"/>
      <c r="BD12" s="2326"/>
      <c r="BE12" s="2326"/>
      <c r="BF12" s="2326"/>
      <c r="BG12" s="2326"/>
      <c r="BH12" s="2326"/>
      <c r="BI12" s="2326"/>
      <c r="BJ12" s="2326"/>
      <c r="BK12" s="2326"/>
      <c r="BL12" s="2326"/>
      <c r="BM12" s="2326"/>
      <c r="BN12" s="2326"/>
      <c r="BO12" s="2326"/>
      <c r="BP12" s="2326"/>
      <c r="BQ12" s="2326"/>
      <c r="BR12" s="2326"/>
      <c r="BS12" s="2327"/>
      <c r="BT12" s="2293" t="s">
        <v>1078</v>
      </c>
      <c r="BU12" s="2294"/>
      <c r="BV12" s="2294"/>
      <c r="BW12" s="2325"/>
      <c r="BX12" s="2293" t="s">
        <v>1079</v>
      </c>
      <c r="BY12" s="2294"/>
      <c r="BZ12" s="2294"/>
      <c r="CA12" s="2325"/>
      <c r="CB12" s="2293" t="s">
        <v>1080</v>
      </c>
      <c r="CC12" s="2325"/>
      <c r="CD12" s="2293" t="s">
        <v>1081</v>
      </c>
      <c r="CE12" s="2294"/>
      <c r="CF12" s="2294"/>
      <c r="CG12" s="2294"/>
      <c r="CH12" s="2294"/>
      <c r="CI12" s="2294"/>
      <c r="CJ12" s="2294"/>
      <c r="CK12" s="2325"/>
      <c r="CL12" s="2333"/>
      <c r="CM12" s="2326"/>
      <c r="CN12" s="2326"/>
      <c r="CO12" s="2326"/>
      <c r="CP12" s="2326"/>
      <c r="CQ12" s="2326"/>
      <c r="CR12" s="2326"/>
      <c r="CS12" s="2326"/>
      <c r="CT12" s="2326"/>
      <c r="CU12" s="2326"/>
      <c r="CV12" s="2326"/>
      <c r="CW12" s="2326"/>
      <c r="CX12" s="2327"/>
      <c r="CY12" s="2293" t="s">
        <v>1082</v>
      </c>
      <c r="CZ12" s="2294"/>
      <c r="DA12" s="2294"/>
      <c r="DB12" s="2294"/>
      <c r="DC12" s="2294"/>
      <c r="DD12" s="2325"/>
      <c r="DE12" s="2293" t="s">
        <v>1083</v>
      </c>
      <c r="DF12" s="2325"/>
      <c r="DG12" s="2293" t="s">
        <v>1081</v>
      </c>
      <c r="DH12" s="2294"/>
      <c r="DI12" s="2294"/>
      <c r="DJ12" s="2325"/>
      <c r="DK12" s="2333"/>
      <c r="DL12" s="2326"/>
      <c r="DM12" s="2326"/>
      <c r="DN12" s="2326"/>
      <c r="DO12" s="2326"/>
      <c r="DP12" s="2326"/>
      <c r="DQ12" s="2326"/>
      <c r="DR12" s="2326"/>
      <c r="DS12" s="2326"/>
      <c r="DT12" s="2326"/>
      <c r="DU12" s="2326"/>
      <c r="DV12" s="2326"/>
      <c r="DW12" s="2326"/>
      <c r="DX12" s="2326"/>
      <c r="DY12" s="2326"/>
      <c r="DZ12" s="2326"/>
      <c r="EA12" s="2326"/>
      <c r="EB12" s="2326"/>
      <c r="EC12" s="2326"/>
      <c r="ED12" s="2326"/>
      <c r="EE12" s="2326"/>
      <c r="EF12" s="2326"/>
      <c r="EG12" s="2326"/>
      <c r="EH12" s="2326"/>
      <c r="EI12" s="2326"/>
      <c r="EJ12" s="2326"/>
      <c r="EK12" s="2326"/>
      <c r="EL12" s="2326"/>
      <c r="EM12" s="2326"/>
      <c r="EN12" s="2326"/>
      <c r="EO12" s="2326"/>
      <c r="EP12" s="2326"/>
      <c r="EQ12" s="2326"/>
      <c r="ER12" s="2326"/>
      <c r="ES12" s="2326"/>
      <c r="ET12" s="2326"/>
      <c r="EU12" s="2326"/>
      <c r="EV12" s="2326"/>
      <c r="EW12" s="2326"/>
      <c r="EX12" s="2326"/>
      <c r="EY12" s="2326"/>
      <c r="EZ12" s="2326"/>
      <c r="FA12" s="2326"/>
      <c r="FB12" s="2326"/>
      <c r="FC12" s="2326"/>
      <c r="FD12" s="2326"/>
      <c r="FE12" s="2326"/>
      <c r="FF12" s="2326"/>
      <c r="FG12" s="2326"/>
      <c r="FH12" s="2326"/>
      <c r="FI12" s="2326"/>
      <c r="FJ12" s="2326"/>
      <c r="FK12" s="2326"/>
      <c r="FL12" s="2326"/>
      <c r="FM12" s="2326"/>
      <c r="FN12" s="2326"/>
      <c r="FO12" s="2326"/>
      <c r="FP12" s="2326"/>
      <c r="FQ12" s="2326"/>
      <c r="FR12" s="2326"/>
      <c r="FS12" s="2326"/>
      <c r="FT12" s="2326"/>
      <c r="FU12" s="2326"/>
      <c r="FV12" s="2326"/>
      <c r="FW12" s="2331"/>
      <c r="FX12" s="698"/>
      <c r="GC12" s="857">
        <v>12</v>
      </c>
    </row>
    <row r="13" spans="2:185" ht="37.9" customHeight="1">
      <c r="D13" s="869"/>
      <c r="E13" s="868"/>
      <c r="F13" s="2151"/>
      <c r="G13" s="2151"/>
      <c r="H13" s="2151"/>
      <c r="I13" s="2151"/>
      <c r="J13" s="2343"/>
      <c r="K13" s="2343"/>
      <c r="L13" s="2343"/>
      <c r="M13" s="2343"/>
      <c r="N13" s="2343"/>
      <c r="O13" s="2155" t="s">
        <v>1084</v>
      </c>
      <c r="P13" s="2155"/>
      <c r="Q13" s="2155"/>
      <c r="R13" s="2155"/>
      <c r="S13" s="2256" t="s">
        <v>1085</v>
      </c>
      <c r="T13" s="2295"/>
      <c r="U13" s="2066" t="s">
        <v>1086</v>
      </c>
      <c r="V13" s="2066"/>
      <c r="W13" s="2066"/>
      <c r="X13" s="2066"/>
      <c r="Y13" s="2066" t="s">
        <v>1087</v>
      </c>
      <c r="Z13" s="2066"/>
      <c r="AA13" s="2066"/>
      <c r="AB13" s="2066"/>
      <c r="AC13" s="2326"/>
      <c r="AD13" s="2326"/>
      <c r="AE13" s="2326"/>
      <c r="AF13" s="2326"/>
      <c r="AG13" s="2326"/>
      <c r="AH13" s="2326"/>
      <c r="AI13" s="2326"/>
      <c r="AJ13" s="2326"/>
      <c r="AK13" s="2326"/>
      <c r="AL13" s="2326"/>
      <c r="AM13" s="2326"/>
      <c r="AN13" s="2326"/>
      <c r="AO13" s="2326"/>
      <c r="AP13" s="2326"/>
      <c r="AQ13" s="2326"/>
      <c r="AR13" s="2326"/>
      <c r="AS13" s="2326"/>
      <c r="AT13" s="2326"/>
      <c r="AU13" s="2326"/>
      <c r="AV13" s="2326"/>
      <c r="AW13" s="2326"/>
      <c r="AX13" s="2326"/>
      <c r="AY13" s="2326"/>
      <c r="AZ13" s="2326"/>
      <c r="BA13" s="2326"/>
      <c r="BB13" s="2326"/>
      <c r="BC13" s="2326"/>
      <c r="BD13" s="2326"/>
      <c r="BE13" s="2326"/>
      <c r="BF13" s="2326"/>
      <c r="BG13" s="2326"/>
      <c r="BH13" s="2326"/>
      <c r="BI13" s="2326"/>
      <c r="BJ13" s="2326"/>
      <c r="BK13" s="2326"/>
      <c r="BL13" s="2326"/>
      <c r="BM13" s="2326"/>
      <c r="BN13" s="2326"/>
      <c r="BO13" s="2326"/>
      <c r="BP13" s="2326"/>
      <c r="BQ13" s="2326"/>
      <c r="BR13" s="2326"/>
      <c r="BS13" s="2327"/>
      <c r="BT13" s="2256" t="s">
        <v>1088</v>
      </c>
      <c r="BU13" s="2295"/>
      <c r="BV13" s="2256" t="s">
        <v>1089</v>
      </c>
      <c r="BW13" s="2295"/>
      <c r="BX13" s="2256" t="s">
        <v>1090</v>
      </c>
      <c r="BY13" s="2295"/>
      <c r="BZ13" s="2256" t="s">
        <v>1091</v>
      </c>
      <c r="CA13" s="2295"/>
      <c r="CB13" s="2256" t="s">
        <v>1092</v>
      </c>
      <c r="CC13" s="2295"/>
      <c r="CD13" s="2256" t="s">
        <v>1093</v>
      </c>
      <c r="CE13" s="2295"/>
      <c r="CF13" s="2256" t="s">
        <v>1094</v>
      </c>
      <c r="CG13" s="2295"/>
      <c r="CH13" s="2293" t="s">
        <v>1095</v>
      </c>
      <c r="CI13" s="2294"/>
      <c r="CJ13" s="2294"/>
      <c r="CK13" s="2325"/>
      <c r="CL13" s="2333"/>
      <c r="CM13" s="2326"/>
      <c r="CN13" s="2326"/>
      <c r="CO13" s="2326"/>
      <c r="CP13" s="2326"/>
      <c r="CQ13" s="2326"/>
      <c r="CR13" s="2326"/>
      <c r="CS13" s="2326"/>
      <c r="CT13" s="2326"/>
      <c r="CU13" s="2326"/>
      <c r="CV13" s="2326"/>
      <c r="CW13" s="2326"/>
      <c r="CX13" s="2327"/>
      <c r="CY13" s="2256" t="s">
        <v>1096</v>
      </c>
      <c r="CZ13" s="2295"/>
      <c r="DA13" s="2256" t="s">
        <v>1097</v>
      </c>
      <c r="DB13" s="2295"/>
      <c r="DC13" s="2256" t="s">
        <v>1098</v>
      </c>
      <c r="DD13" s="2295"/>
      <c r="DE13" s="2256" t="s">
        <v>1099</v>
      </c>
      <c r="DF13" s="2295"/>
      <c r="DG13" s="2293" t="s">
        <v>1100</v>
      </c>
      <c r="DH13" s="2294"/>
      <c r="DI13" s="2294"/>
      <c r="DJ13" s="2325"/>
      <c r="DK13" s="2333"/>
      <c r="DL13" s="2326"/>
      <c r="DM13" s="2326"/>
      <c r="DN13" s="2326"/>
      <c r="DO13" s="2326"/>
      <c r="DP13" s="2326"/>
      <c r="DQ13" s="2326"/>
      <c r="DR13" s="2326"/>
      <c r="DS13" s="2326"/>
      <c r="DT13" s="2326"/>
      <c r="DU13" s="2326"/>
      <c r="DV13" s="2326"/>
      <c r="DW13" s="2326"/>
      <c r="DX13" s="2326"/>
      <c r="DY13" s="2326"/>
      <c r="DZ13" s="2326"/>
      <c r="EA13" s="2326"/>
      <c r="EB13" s="2326"/>
      <c r="EC13" s="2326"/>
      <c r="ED13" s="2326"/>
      <c r="EE13" s="2326"/>
      <c r="EF13" s="2326"/>
      <c r="EG13" s="2326"/>
      <c r="EH13" s="2326"/>
      <c r="EI13" s="2326"/>
      <c r="EJ13" s="2326"/>
      <c r="EK13" s="2326"/>
      <c r="EL13" s="2326"/>
      <c r="EM13" s="2326"/>
      <c r="EN13" s="2326"/>
      <c r="EO13" s="2326"/>
      <c r="EP13" s="2326"/>
      <c r="EQ13" s="2326"/>
      <c r="ER13" s="2326"/>
      <c r="ES13" s="2326"/>
      <c r="ET13" s="2326"/>
      <c r="EU13" s="2326"/>
      <c r="EV13" s="2326"/>
      <c r="EW13" s="2326"/>
      <c r="EX13" s="2326"/>
      <c r="EY13" s="2326"/>
      <c r="EZ13" s="2326"/>
      <c r="FA13" s="2326"/>
      <c r="FB13" s="2326"/>
      <c r="FC13" s="2326"/>
      <c r="FD13" s="2326"/>
      <c r="FE13" s="2326"/>
      <c r="FF13" s="2326"/>
      <c r="FG13" s="2326"/>
      <c r="FH13" s="2326"/>
      <c r="FI13" s="2326"/>
      <c r="FJ13" s="2326"/>
      <c r="FK13" s="2326"/>
      <c r="FL13" s="2326"/>
      <c r="FM13" s="2326"/>
      <c r="FN13" s="2326"/>
      <c r="FO13" s="2326"/>
      <c r="FP13" s="2326"/>
      <c r="FQ13" s="2326"/>
      <c r="FR13" s="2326"/>
      <c r="FS13" s="2326"/>
      <c r="FT13" s="2326"/>
      <c r="FU13" s="2326"/>
      <c r="FV13" s="2326"/>
      <c r="FW13" s="2331"/>
      <c r="FX13" s="698"/>
      <c r="GC13" s="857">
        <v>36</v>
      </c>
    </row>
    <row r="14" spans="2:185" ht="37.9" customHeight="1">
      <c r="D14" s="869"/>
      <c r="E14" s="868"/>
      <c r="F14" s="2151"/>
      <c r="G14" s="2151"/>
      <c r="H14" s="2151"/>
      <c r="I14" s="2151"/>
      <c r="J14" s="2343"/>
      <c r="K14" s="2343"/>
      <c r="L14" s="2343"/>
      <c r="M14" s="2343"/>
      <c r="N14" s="2343"/>
      <c r="O14" s="2256" t="s">
        <v>1101</v>
      </c>
      <c r="P14" s="2295"/>
      <c r="Q14" s="2256" t="s">
        <v>1102</v>
      </c>
      <c r="R14" s="2295"/>
      <c r="S14" s="2257"/>
      <c r="T14" s="2159"/>
      <c r="U14" s="2256" t="s">
        <v>834</v>
      </c>
      <c r="V14" s="2295"/>
      <c r="W14" s="2256" t="s">
        <v>837</v>
      </c>
      <c r="X14" s="2295"/>
      <c r="Y14" s="2256" t="s">
        <v>834</v>
      </c>
      <c r="Z14" s="2295"/>
      <c r="AA14" s="2256" t="s">
        <v>844</v>
      </c>
      <c r="AB14" s="2295"/>
      <c r="AC14" s="2326"/>
      <c r="AD14" s="2326"/>
      <c r="AE14" s="2326"/>
      <c r="AF14" s="2326"/>
      <c r="AG14" s="2326"/>
      <c r="AH14" s="2326"/>
      <c r="AI14" s="2326"/>
      <c r="AJ14" s="2326"/>
      <c r="AK14" s="2326"/>
      <c r="AL14" s="2326"/>
      <c r="AM14" s="2326"/>
      <c r="AN14" s="2326"/>
      <c r="AO14" s="2326"/>
      <c r="AP14" s="2326"/>
      <c r="AQ14" s="2326"/>
      <c r="AR14" s="2326"/>
      <c r="AS14" s="2326"/>
      <c r="AT14" s="2326"/>
      <c r="AU14" s="2326"/>
      <c r="AV14" s="2326"/>
      <c r="AW14" s="2326"/>
      <c r="AX14" s="2326"/>
      <c r="AY14" s="2326"/>
      <c r="AZ14" s="2326"/>
      <c r="BA14" s="2326"/>
      <c r="BB14" s="2326"/>
      <c r="BC14" s="2326"/>
      <c r="BD14" s="2326"/>
      <c r="BE14" s="2326"/>
      <c r="BF14" s="2326"/>
      <c r="BG14" s="2326"/>
      <c r="BH14" s="2326"/>
      <c r="BI14" s="2326"/>
      <c r="BJ14" s="2326"/>
      <c r="BK14" s="2326"/>
      <c r="BL14" s="2326"/>
      <c r="BM14" s="2326"/>
      <c r="BN14" s="2326"/>
      <c r="BO14" s="2326"/>
      <c r="BP14" s="2326"/>
      <c r="BQ14" s="2326"/>
      <c r="BR14" s="2326"/>
      <c r="BS14" s="2327"/>
      <c r="BT14" s="2257"/>
      <c r="BU14" s="2159"/>
      <c r="BV14" s="2257"/>
      <c r="BW14" s="2159"/>
      <c r="BX14" s="2257"/>
      <c r="BY14" s="2159"/>
      <c r="BZ14" s="2257"/>
      <c r="CA14" s="2159"/>
      <c r="CB14" s="2257"/>
      <c r="CC14" s="2159"/>
      <c r="CD14" s="2257"/>
      <c r="CE14" s="2159"/>
      <c r="CF14" s="2257"/>
      <c r="CG14" s="2159"/>
      <c r="CH14" s="2256" t="s">
        <v>1103</v>
      </c>
      <c r="CI14" s="2295"/>
      <c r="CJ14" s="2256" t="s">
        <v>1104</v>
      </c>
      <c r="CK14" s="2295"/>
      <c r="CL14" s="2333"/>
      <c r="CM14" s="2326"/>
      <c r="CN14" s="2326"/>
      <c r="CO14" s="2326"/>
      <c r="CP14" s="2326"/>
      <c r="CQ14" s="2326"/>
      <c r="CR14" s="2326"/>
      <c r="CS14" s="2326"/>
      <c r="CT14" s="2326"/>
      <c r="CU14" s="2326"/>
      <c r="CV14" s="2326"/>
      <c r="CW14" s="2326"/>
      <c r="CX14" s="2327"/>
      <c r="CY14" s="2257"/>
      <c r="CZ14" s="2159"/>
      <c r="DA14" s="2257"/>
      <c r="DB14" s="2159"/>
      <c r="DC14" s="2257"/>
      <c r="DD14" s="2159"/>
      <c r="DE14" s="2257"/>
      <c r="DF14" s="2159"/>
      <c r="DG14" s="2256" t="s">
        <v>1105</v>
      </c>
      <c r="DH14" s="2295"/>
      <c r="DI14" s="2256" t="s">
        <v>1106</v>
      </c>
      <c r="DJ14" s="2295"/>
      <c r="DK14" s="2333"/>
      <c r="DL14" s="2326"/>
      <c r="DM14" s="2326"/>
      <c r="DN14" s="2326"/>
      <c r="DO14" s="2326"/>
      <c r="DP14" s="2326"/>
      <c r="DQ14" s="2326"/>
      <c r="DR14" s="2326"/>
      <c r="DS14" s="2326"/>
      <c r="DT14" s="2326"/>
      <c r="DU14" s="2326"/>
      <c r="DV14" s="2326"/>
      <c r="DW14" s="2326"/>
      <c r="DX14" s="2326"/>
      <c r="DY14" s="2326"/>
      <c r="DZ14" s="2326"/>
      <c r="EA14" s="2326"/>
      <c r="EB14" s="2326"/>
      <c r="EC14" s="2326"/>
      <c r="ED14" s="2326"/>
      <c r="EE14" s="2326"/>
      <c r="EF14" s="2326"/>
      <c r="EG14" s="2326"/>
      <c r="EH14" s="2326"/>
      <c r="EI14" s="2326"/>
      <c r="EJ14" s="2326"/>
      <c r="EK14" s="2326"/>
      <c r="EL14" s="2326"/>
      <c r="EM14" s="2326"/>
      <c r="EN14" s="2326"/>
      <c r="EO14" s="2326"/>
      <c r="EP14" s="2326"/>
      <c r="EQ14" s="2326"/>
      <c r="ER14" s="2326"/>
      <c r="ES14" s="2326"/>
      <c r="ET14" s="2326"/>
      <c r="EU14" s="2326"/>
      <c r="EV14" s="2326"/>
      <c r="EW14" s="2326"/>
      <c r="EX14" s="2326"/>
      <c r="EY14" s="2326"/>
      <c r="EZ14" s="2326"/>
      <c r="FA14" s="2326"/>
      <c r="FB14" s="2326"/>
      <c r="FC14" s="2326"/>
      <c r="FD14" s="2326"/>
      <c r="FE14" s="2326"/>
      <c r="FF14" s="2326"/>
      <c r="FG14" s="2326"/>
      <c r="FH14" s="2326"/>
      <c r="FI14" s="2326"/>
      <c r="FJ14" s="2326"/>
      <c r="FK14" s="2326"/>
      <c r="FL14" s="2326"/>
      <c r="FM14" s="2326"/>
      <c r="FN14" s="2326"/>
      <c r="FO14" s="2326"/>
      <c r="FP14" s="2326"/>
      <c r="FQ14" s="2326"/>
      <c r="FR14" s="2326"/>
      <c r="FS14" s="2326"/>
      <c r="FT14" s="2326"/>
      <c r="FU14" s="2326"/>
      <c r="FV14" s="2326"/>
      <c r="FW14" s="2331"/>
      <c r="FX14" s="698"/>
      <c r="GC14" s="857">
        <v>36</v>
      </c>
    </row>
    <row r="15" spans="2:185" ht="37.9" customHeight="1">
      <c r="D15" s="869"/>
      <c r="E15" s="868"/>
      <c r="F15" s="2151"/>
      <c r="G15" s="2151"/>
      <c r="H15" s="2151"/>
      <c r="I15" s="2151"/>
      <c r="J15" s="2343"/>
      <c r="K15" s="2343"/>
      <c r="L15" s="2343"/>
      <c r="M15" s="2343"/>
      <c r="N15" s="2343"/>
      <c r="O15" s="2258"/>
      <c r="P15" s="2312"/>
      <c r="Q15" s="2258"/>
      <c r="R15" s="2312"/>
      <c r="S15" s="2258"/>
      <c r="T15" s="2312"/>
      <c r="U15" s="2258"/>
      <c r="V15" s="2312"/>
      <c r="W15" s="2258"/>
      <c r="X15" s="2312"/>
      <c r="Y15" s="2258"/>
      <c r="Z15" s="2312"/>
      <c r="AA15" s="2258"/>
      <c r="AB15" s="2312"/>
      <c r="AC15" s="2326"/>
      <c r="AD15" s="2326"/>
      <c r="AE15" s="2326"/>
      <c r="AF15" s="2326"/>
      <c r="AG15" s="2326"/>
      <c r="AH15" s="2326"/>
      <c r="AI15" s="2326"/>
      <c r="AJ15" s="2326"/>
      <c r="AK15" s="2326"/>
      <c r="AL15" s="2326"/>
      <c r="AM15" s="2326"/>
      <c r="AN15" s="2326"/>
      <c r="AO15" s="2326"/>
      <c r="AP15" s="2326"/>
      <c r="AQ15" s="2326"/>
      <c r="AR15" s="2326"/>
      <c r="AS15" s="2326"/>
      <c r="AT15" s="2326"/>
      <c r="AU15" s="2326"/>
      <c r="AV15" s="2326"/>
      <c r="AW15" s="2326"/>
      <c r="AX15" s="2326"/>
      <c r="AY15" s="2326"/>
      <c r="AZ15" s="2326"/>
      <c r="BA15" s="2326"/>
      <c r="BB15" s="2326"/>
      <c r="BC15" s="2326"/>
      <c r="BD15" s="2326"/>
      <c r="BE15" s="2326"/>
      <c r="BF15" s="2326"/>
      <c r="BG15" s="2326"/>
      <c r="BH15" s="2326"/>
      <c r="BI15" s="2326"/>
      <c r="BJ15" s="2326"/>
      <c r="BK15" s="2326"/>
      <c r="BL15" s="2326"/>
      <c r="BM15" s="2326"/>
      <c r="BN15" s="2326"/>
      <c r="BO15" s="2326"/>
      <c r="BP15" s="2326"/>
      <c r="BQ15" s="2326"/>
      <c r="BR15" s="2326"/>
      <c r="BS15" s="2327"/>
      <c r="BT15" s="2258"/>
      <c r="BU15" s="2312"/>
      <c r="BV15" s="2258"/>
      <c r="BW15" s="2312"/>
      <c r="BX15" s="2258"/>
      <c r="BY15" s="2312"/>
      <c r="BZ15" s="2258"/>
      <c r="CA15" s="2312"/>
      <c r="CB15" s="2258"/>
      <c r="CC15" s="2312"/>
      <c r="CD15" s="2258"/>
      <c r="CE15" s="2312"/>
      <c r="CF15" s="2258"/>
      <c r="CG15" s="2312"/>
      <c r="CH15" s="2258"/>
      <c r="CI15" s="2312"/>
      <c r="CJ15" s="2258"/>
      <c r="CK15" s="2312"/>
      <c r="CL15" s="2333"/>
      <c r="CM15" s="2326"/>
      <c r="CN15" s="2326"/>
      <c r="CO15" s="2326"/>
      <c r="CP15" s="2326"/>
      <c r="CQ15" s="2326"/>
      <c r="CR15" s="2326"/>
      <c r="CS15" s="2326"/>
      <c r="CT15" s="2326"/>
      <c r="CU15" s="2326"/>
      <c r="CV15" s="2326"/>
      <c r="CW15" s="2326"/>
      <c r="CX15" s="2327"/>
      <c r="CY15" s="2258"/>
      <c r="CZ15" s="2312"/>
      <c r="DA15" s="2258"/>
      <c r="DB15" s="2312"/>
      <c r="DC15" s="2258"/>
      <c r="DD15" s="2312"/>
      <c r="DE15" s="2258"/>
      <c r="DF15" s="2312"/>
      <c r="DG15" s="2258"/>
      <c r="DH15" s="2312"/>
      <c r="DI15" s="2258"/>
      <c r="DJ15" s="2312"/>
      <c r="DK15" s="2333"/>
      <c r="DL15" s="2326"/>
      <c r="DM15" s="2326"/>
      <c r="DN15" s="2326"/>
      <c r="DO15" s="2326"/>
      <c r="DP15" s="2326"/>
      <c r="DQ15" s="2326"/>
      <c r="DR15" s="2326"/>
      <c r="DS15" s="2326"/>
      <c r="DT15" s="2326"/>
      <c r="DU15" s="2326"/>
      <c r="DV15" s="2326"/>
      <c r="DW15" s="2326"/>
      <c r="DX15" s="2326"/>
      <c r="DY15" s="2326"/>
      <c r="DZ15" s="2326"/>
      <c r="EA15" s="2326"/>
      <c r="EB15" s="2326"/>
      <c r="EC15" s="2326"/>
      <c r="ED15" s="2326"/>
      <c r="EE15" s="2326"/>
      <c r="EF15" s="2326"/>
      <c r="EG15" s="2326"/>
      <c r="EH15" s="2326"/>
      <c r="EI15" s="2326"/>
      <c r="EJ15" s="2326"/>
      <c r="EK15" s="2326"/>
      <c r="EL15" s="2326"/>
      <c r="EM15" s="2326"/>
      <c r="EN15" s="2326"/>
      <c r="EO15" s="2326"/>
      <c r="EP15" s="2326"/>
      <c r="EQ15" s="2326"/>
      <c r="ER15" s="2326"/>
      <c r="ES15" s="2326"/>
      <c r="ET15" s="2326"/>
      <c r="EU15" s="2326"/>
      <c r="EV15" s="2326"/>
      <c r="EW15" s="2326"/>
      <c r="EX15" s="2326"/>
      <c r="EY15" s="2326"/>
      <c r="EZ15" s="2326"/>
      <c r="FA15" s="2326"/>
      <c r="FB15" s="2326"/>
      <c r="FC15" s="2326"/>
      <c r="FD15" s="2326"/>
      <c r="FE15" s="2326"/>
      <c r="FF15" s="2326"/>
      <c r="FG15" s="2326"/>
      <c r="FH15" s="2326"/>
      <c r="FI15" s="2326"/>
      <c r="FJ15" s="2326"/>
      <c r="FK15" s="2326"/>
      <c r="FL15" s="2326"/>
      <c r="FM15" s="2326"/>
      <c r="FN15" s="2326"/>
      <c r="FO15" s="2326"/>
      <c r="FP15" s="2326"/>
      <c r="FQ15" s="2326"/>
      <c r="FR15" s="2326"/>
      <c r="FS15" s="2326"/>
      <c r="FT15" s="2326"/>
      <c r="FU15" s="2326"/>
      <c r="FV15" s="2326"/>
      <c r="FW15" s="2331"/>
      <c r="FX15" s="698"/>
      <c r="GC15" s="857">
        <v>36</v>
      </c>
    </row>
    <row r="16" spans="2:185" ht="12.75" customHeight="1">
      <c r="D16" s="869"/>
      <c r="E16" s="868"/>
      <c r="F16" s="2151"/>
      <c r="G16" s="2151"/>
      <c r="H16" s="2151"/>
      <c r="I16" s="2151"/>
      <c r="J16" s="2343"/>
      <c r="K16" s="2343"/>
      <c r="L16" s="2343"/>
      <c r="M16" s="2343"/>
      <c r="N16" s="2343"/>
      <c r="O16" s="2293" t="s">
        <v>824</v>
      </c>
      <c r="P16" s="2325"/>
      <c r="Q16" s="2293" t="s">
        <v>826</v>
      </c>
      <c r="R16" s="2325"/>
      <c r="S16" s="2293" t="s">
        <v>830</v>
      </c>
      <c r="T16" s="2325"/>
      <c r="U16" s="2293" t="s">
        <v>835</v>
      </c>
      <c r="V16" s="2325"/>
      <c r="W16" s="2293" t="s">
        <v>838</v>
      </c>
      <c r="X16" s="2325"/>
      <c r="Y16" s="2293" t="s">
        <v>842</v>
      </c>
      <c r="Z16" s="2325"/>
      <c r="AA16" s="2293" t="s">
        <v>845</v>
      </c>
      <c r="AB16" s="2325"/>
      <c r="AC16" s="2326"/>
      <c r="AD16" s="2326"/>
      <c r="AE16" s="2326"/>
      <c r="AF16" s="2326"/>
      <c r="AG16" s="2326"/>
      <c r="AH16" s="2326"/>
      <c r="AI16" s="2326"/>
      <c r="AJ16" s="2326"/>
      <c r="AK16" s="2326"/>
      <c r="AL16" s="2326"/>
      <c r="AM16" s="2326"/>
      <c r="AN16" s="2326"/>
      <c r="AO16" s="2326"/>
      <c r="AP16" s="2326"/>
      <c r="AQ16" s="2326"/>
      <c r="AR16" s="2326"/>
      <c r="AS16" s="2326"/>
      <c r="AT16" s="2326"/>
      <c r="AU16" s="2326"/>
      <c r="AV16" s="2326"/>
      <c r="AW16" s="2326"/>
      <c r="AX16" s="2326"/>
      <c r="AY16" s="2326"/>
      <c r="AZ16" s="2326"/>
      <c r="BA16" s="2326"/>
      <c r="BB16" s="2326"/>
      <c r="BC16" s="2326"/>
      <c r="BD16" s="2326"/>
      <c r="BE16" s="2326"/>
      <c r="BF16" s="2326"/>
      <c r="BG16" s="2326"/>
      <c r="BH16" s="2326"/>
      <c r="BI16" s="2326"/>
      <c r="BJ16" s="2326"/>
      <c r="BK16" s="2326"/>
      <c r="BL16" s="2326"/>
      <c r="BM16" s="2326"/>
      <c r="BN16" s="2326"/>
      <c r="BO16" s="2326"/>
      <c r="BP16" s="2326"/>
      <c r="BQ16" s="2326"/>
      <c r="BR16" s="2326"/>
      <c r="BS16" s="2327"/>
      <c r="BT16" s="2293" t="s">
        <v>556</v>
      </c>
      <c r="BU16" s="2325"/>
      <c r="BV16" s="2293" t="s">
        <v>556</v>
      </c>
      <c r="BW16" s="2325"/>
      <c r="BX16" s="2293" t="s">
        <v>556</v>
      </c>
      <c r="BY16" s="2325"/>
      <c r="BZ16" s="2293" t="s">
        <v>556</v>
      </c>
      <c r="CA16" s="2325"/>
      <c r="CB16" s="2293" t="s">
        <v>1107</v>
      </c>
      <c r="CC16" s="2325"/>
      <c r="CD16" s="2293" t="s">
        <v>556</v>
      </c>
      <c r="CE16" s="2325"/>
      <c r="CF16" s="2293" t="s">
        <v>1108</v>
      </c>
      <c r="CG16" s="2325"/>
      <c r="CH16" s="2293" t="s">
        <v>1109</v>
      </c>
      <c r="CI16" s="2325"/>
      <c r="CJ16" s="2293" t="s">
        <v>1109</v>
      </c>
      <c r="CK16" s="2325"/>
      <c r="CL16" s="2333"/>
      <c r="CM16" s="2326"/>
      <c r="CN16" s="2326"/>
      <c r="CO16" s="2326"/>
      <c r="CP16" s="2326"/>
      <c r="CQ16" s="2326"/>
      <c r="CR16" s="2326"/>
      <c r="CS16" s="2326"/>
      <c r="CT16" s="2326"/>
      <c r="CU16" s="2326"/>
      <c r="CV16" s="2326"/>
      <c r="CW16" s="2326"/>
      <c r="CX16" s="2327"/>
      <c r="CY16" s="2256" t="s">
        <v>556</v>
      </c>
      <c r="CZ16" s="2295"/>
      <c r="DA16" s="2256" t="s">
        <v>556</v>
      </c>
      <c r="DB16" s="2295"/>
      <c r="DC16" s="2256" t="s">
        <v>556</v>
      </c>
      <c r="DD16" s="2295"/>
      <c r="DE16" s="2293" t="s">
        <v>1107</v>
      </c>
      <c r="DF16" s="2325"/>
      <c r="DG16" s="2293" t="s">
        <v>1110</v>
      </c>
      <c r="DH16" s="2325"/>
      <c r="DI16" s="2293" t="s">
        <v>1110</v>
      </c>
      <c r="DJ16" s="2325"/>
      <c r="DK16" s="2333"/>
      <c r="DL16" s="2326"/>
      <c r="DM16" s="2326"/>
      <c r="DN16" s="2326"/>
      <c r="DO16" s="2326"/>
      <c r="DP16" s="2326"/>
      <c r="DQ16" s="2326"/>
      <c r="DR16" s="2326"/>
      <c r="DS16" s="2326"/>
      <c r="DT16" s="2326"/>
      <c r="DU16" s="2326"/>
      <c r="DV16" s="2326"/>
      <c r="DW16" s="2326"/>
      <c r="DX16" s="2326"/>
      <c r="DY16" s="2326"/>
      <c r="DZ16" s="2326"/>
      <c r="EA16" s="2326"/>
      <c r="EB16" s="2326"/>
      <c r="EC16" s="2326"/>
      <c r="ED16" s="2326"/>
      <c r="EE16" s="2326"/>
      <c r="EF16" s="2326"/>
      <c r="EG16" s="2326"/>
      <c r="EH16" s="2326"/>
      <c r="EI16" s="2326"/>
      <c r="EJ16" s="2326"/>
      <c r="EK16" s="2326"/>
      <c r="EL16" s="2326"/>
      <c r="EM16" s="2326"/>
      <c r="EN16" s="2326"/>
      <c r="EO16" s="2326"/>
      <c r="EP16" s="2326"/>
      <c r="EQ16" s="2326"/>
      <c r="ER16" s="2326"/>
      <c r="ES16" s="2326"/>
      <c r="ET16" s="2326"/>
      <c r="EU16" s="2326"/>
      <c r="EV16" s="2326"/>
      <c r="EW16" s="2326"/>
      <c r="EX16" s="2326"/>
      <c r="EY16" s="2326"/>
      <c r="EZ16" s="2326"/>
      <c r="FA16" s="2326"/>
      <c r="FB16" s="2326"/>
      <c r="FC16" s="2326"/>
      <c r="FD16" s="2326"/>
      <c r="FE16" s="2326"/>
      <c r="FF16" s="2326"/>
      <c r="FG16" s="2326"/>
      <c r="FH16" s="2326"/>
      <c r="FI16" s="2326"/>
      <c r="FJ16" s="2326"/>
      <c r="FK16" s="2326"/>
      <c r="FL16" s="2326"/>
      <c r="FM16" s="2326"/>
      <c r="FN16" s="2326"/>
      <c r="FO16" s="2326"/>
      <c r="FP16" s="2326"/>
      <c r="FQ16" s="2326"/>
      <c r="FR16" s="2326"/>
      <c r="FS16" s="2326"/>
      <c r="FT16" s="2326"/>
      <c r="FU16" s="2326"/>
      <c r="FV16" s="2326"/>
      <c r="FW16" s="2331"/>
      <c r="FX16" s="698"/>
      <c r="GC16" s="857">
        <v>12</v>
      </c>
    </row>
    <row r="17" spans="1:185" ht="15.75" customHeight="1">
      <c r="E17" s="868"/>
      <c r="F17" s="2151"/>
      <c r="G17" s="2151"/>
      <c r="H17" s="2151"/>
      <c r="I17" s="2151"/>
      <c r="J17" s="2343"/>
      <c r="K17" s="2343"/>
      <c r="L17" s="2343"/>
      <c r="M17" s="2343"/>
      <c r="N17" s="2343"/>
      <c r="O17" s="1119" t="s">
        <v>1111</v>
      </c>
      <c r="P17" s="1119" t="s">
        <v>1112</v>
      </c>
      <c r="Q17" s="1119" t="s">
        <v>1111</v>
      </c>
      <c r="R17" s="1119" t="s">
        <v>1112</v>
      </c>
      <c r="S17" s="1119" t="s">
        <v>1111</v>
      </c>
      <c r="T17" s="1119" t="s">
        <v>1112</v>
      </c>
      <c r="U17" s="1119" t="s">
        <v>1111</v>
      </c>
      <c r="V17" s="1119" t="s">
        <v>1112</v>
      </c>
      <c r="W17" s="1119" t="s">
        <v>1111</v>
      </c>
      <c r="X17" s="1119" t="s">
        <v>1112</v>
      </c>
      <c r="Y17" s="1119" t="s">
        <v>1111</v>
      </c>
      <c r="Z17" s="1119" t="s">
        <v>1112</v>
      </c>
      <c r="AA17" s="1119" t="s">
        <v>1111</v>
      </c>
      <c r="AB17" s="1119" t="s">
        <v>1112</v>
      </c>
      <c r="AC17" s="2326"/>
      <c r="AD17" s="2326"/>
      <c r="AE17" s="2326"/>
      <c r="AF17" s="2326"/>
      <c r="AG17" s="2326"/>
      <c r="AH17" s="2326"/>
      <c r="AI17" s="2326"/>
      <c r="AJ17" s="2326"/>
      <c r="AK17" s="2326"/>
      <c r="AL17" s="2326"/>
      <c r="AM17" s="2326"/>
      <c r="AN17" s="2326"/>
      <c r="AO17" s="2326"/>
      <c r="AP17" s="2326"/>
      <c r="AQ17" s="2326"/>
      <c r="AR17" s="2326"/>
      <c r="AS17" s="2326"/>
      <c r="AT17" s="2326"/>
      <c r="AU17" s="2326"/>
      <c r="AV17" s="2326"/>
      <c r="AW17" s="2326"/>
      <c r="AX17" s="2326"/>
      <c r="AY17" s="2326"/>
      <c r="AZ17" s="2326"/>
      <c r="BA17" s="2326"/>
      <c r="BB17" s="2326"/>
      <c r="BC17" s="2326"/>
      <c r="BD17" s="2326"/>
      <c r="BE17" s="2326"/>
      <c r="BF17" s="2326"/>
      <c r="BG17" s="2326"/>
      <c r="BH17" s="2326"/>
      <c r="BI17" s="2326"/>
      <c r="BJ17" s="2326"/>
      <c r="BK17" s="2326"/>
      <c r="BL17" s="2326"/>
      <c r="BM17" s="2326"/>
      <c r="BN17" s="2326"/>
      <c r="BO17" s="2326"/>
      <c r="BP17" s="2326"/>
      <c r="BQ17" s="2326"/>
      <c r="BR17" s="2326"/>
      <c r="BS17" s="2327"/>
      <c r="BT17" s="1119" t="s">
        <v>1111</v>
      </c>
      <c r="BU17" s="1119" t="s">
        <v>1112</v>
      </c>
      <c r="BV17" s="1119" t="s">
        <v>1111</v>
      </c>
      <c r="BW17" s="1119" t="s">
        <v>1112</v>
      </c>
      <c r="BX17" s="1119" t="s">
        <v>1111</v>
      </c>
      <c r="BY17" s="1119" t="s">
        <v>1112</v>
      </c>
      <c r="BZ17" s="1119" t="s">
        <v>1111</v>
      </c>
      <c r="CA17" s="1119" t="s">
        <v>1112</v>
      </c>
      <c r="CB17" s="1119" t="s">
        <v>1111</v>
      </c>
      <c r="CC17" s="1119" t="s">
        <v>1112</v>
      </c>
      <c r="CD17" s="1119" t="s">
        <v>1111</v>
      </c>
      <c r="CE17" s="1119" t="s">
        <v>1112</v>
      </c>
      <c r="CF17" s="1119" t="s">
        <v>1111</v>
      </c>
      <c r="CG17" s="1119" t="s">
        <v>1112</v>
      </c>
      <c r="CH17" s="1119" t="s">
        <v>1111</v>
      </c>
      <c r="CI17" s="1119" t="s">
        <v>1112</v>
      </c>
      <c r="CJ17" s="1119" t="s">
        <v>1111</v>
      </c>
      <c r="CK17" s="1119" t="s">
        <v>1112</v>
      </c>
      <c r="CL17" s="2333"/>
      <c r="CM17" s="2326"/>
      <c r="CN17" s="2326"/>
      <c r="CO17" s="2326"/>
      <c r="CP17" s="2326"/>
      <c r="CQ17" s="2326"/>
      <c r="CR17" s="2326"/>
      <c r="CS17" s="2326"/>
      <c r="CT17" s="2326"/>
      <c r="CU17" s="2326"/>
      <c r="CV17" s="2326"/>
      <c r="CW17" s="2326"/>
      <c r="CX17" s="2327"/>
      <c r="CY17" s="1119" t="s">
        <v>1111</v>
      </c>
      <c r="CZ17" s="1119" t="s">
        <v>1112</v>
      </c>
      <c r="DA17" s="1119" t="s">
        <v>1111</v>
      </c>
      <c r="DB17" s="1119" t="s">
        <v>1112</v>
      </c>
      <c r="DC17" s="1119" t="s">
        <v>1111</v>
      </c>
      <c r="DD17" s="1119" t="s">
        <v>1112</v>
      </c>
      <c r="DE17" s="1119" t="s">
        <v>1111</v>
      </c>
      <c r="DF17" s="1119" t="s">
        <v>1112</v>
      </c>
      <c r="DG17" s="1119" t="s">
        <v>1111</v>
      </c>
      <c r="DH17" s="1119" t="s">
        <v>1112</v>
      </c>
      <c r="DI17" s="1119" t="s">
        <v>1111</v>
      </c>
      <c r="DJ17" s="1119" t="s">
        <v>1112</v>
      </c>
      <c r="DK17" s="2333"/>
      <c r="DL17" s="2326"/>
      <c r="DM17" s="2326"/>
      <c r="DN17" s="2326"/>
      <c r="DO17" s="2326"/>
      <c r="DP17" s="2326"/>
      <c r="DQ17" s="2326"/>
      <c r="DR17" s="2326"/>
      <c r="DS17" s="2326"/>
      <c r="DT17" s="2326"/>
      <c r="DU17" s="2326"/>
      <c r="DV17" s="2326"/>
      <c r="DW17" s="2326"/>
      <c r="DX17" s="2326"/>
      <c r="DY17" s="2326"/>
      <c r="DZ17" s="2326"/>
      <c r="EA17" s="2326"/>
      <c r="EB17" s="2326"/>
      <c r="EC17" s="2326"/>
      <c r="ED17" s="2326"/>
      <c r="EE17" s="2326"/>
      <c r="EF17" s="2326"/>
      <c r="EG17" s="2326"/>
      <c r="EH17" s="2326"/>
      <c r="EI17" s="2326"/>
      <c r="EJ17" s="2326"/>
      <c r="EK17" s="2326"/>
      <c r="EL17" s="2326"/>
      <c r="EM17" s="2326"/>
      <c r="EN17" s="2326"/>
      <c r="EO17" s="2326"/>
      <c r="EP17" s="2326"/>
      <c r="EQ17" s="2326"/>
      <c r="ER17" s="2326"/>
      <c r="ES17" s="2326"/>
      <c r="ET17" s="2326"/>
      <c r="EU17" s="2326"/>
      <c r="EV17" s="2326"/>
      <c r="EW17" s="2326"/>
      <c r="EX17" s="2326"/>
      <c r="EY17" s="2326"/>
      <c r="EZ17" s="2326"/>
      <c r="FA17" s="2326"/>
      <c r="FB17" s="2326"/>
      <c r="FC17" s="2326"/>
      <c r="FD17" s="2326"/>
      <c r="FE17" s="2326"/>
      <c r="FF17" s="2326"/>
      <c r="FG17" s="2326"/>
      <c r="FH17" s="2326"/>
      <c r="FI17" s="2326"/>
      <c r="FJ17" s="2326"/>
      <c r="FK17" s="2326"/>
      <c r="FL17" s="2326"/>
      <c r="FM17" s="2326"/>
      <c r="FN17" s="2326"/>
      <c r="FO17" s="2326"/>
      <c r="FP17" s="2326"/>
      <c r="FQ17" s="2326"/>
      <c r="FR17" s="2326"/>
      <c r="FS17" s="2326"/>
      <c r="FT17" s="2326"/>
      <c r="FU17" s="2326"/>
      <c r="FV17" s="2326"/>
      <c r="FW17" s="2332"/>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374</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81</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zoomScale="90" workbookViewId="0">
      <pane xSplit="7" ySplit="14" topLeftCell="H21" activePane="bottomRight" state="frozen"/>
      <selection pane="topRight" activeCell="H1" sqref="H1"/>
      <selection pane="bottomLeft" activeCell="A15" sqref="A15"/>
      <selection pane="bottomRight" activeCell="E21" sqref="E21"/>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42.42578125" style="1563" hidden="1" customWidth="1"/>
    <col min="8" max="8" width="40.7109375" style="1563" customWidth="1"/>
    <col min="9" max="9" width="93" style="1294" customWidth="1"/>
    <col min="10" max="17" width="10" style="1563" customWidth="1"/>
    <col min="18" max="18" width="10" style="613" customWidth="1"/>
    <col min="19" max="19" width="10.5703125" style="1563" hidden="1"/>
  </cols>
  <sheetData>
    <row r="1" spans="1:19" s="1294" customFormat="1" ht="15" hidden="1" customHeight="1">
      <c r="C1" s="610"/>
      <c r="H1" s="355">
        <v>4</v>
      </c>
      <c r="R1" s="358"/>
      <c r="S1" s="355" t="s">
        <v>14</v>
      </c>
    </row>
    <row r="2" spans="1:19" ht="22.5" hidden="1" customHeight="1">
      <c r="C2" s="1851" t="s">
        <v>687</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75" customHeight="1">
      <c r="C5" s="114"/>
      <c r="D5" s="2175"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75"/>
      <c r="F5" s="2175"/>
      <c r="G5" s="2175"/>
      <c r="H5" s="2175"/>
      <c r="I5" s="475"/>
      <c r="S5" s="443">
        <v>38</v>
      </c>
    </row>
    <row r="6" spans="1:19" ht="15.75" customHeight="1">
      <c r="C6" s="114"/>
      <c r="D6" s="2147" t="str">
        <f>IF(org=0,"Не определено",org)</f>
        <v>ООО "Профит"</v>
      </c>
      <c r="E6" s="2147"/>
      <c r="F6" s="2147"/>
      <c r="G6" s="2147"/>
      <c r="H6" s="2147"/>
      <c r="I6" s="475"/>
      <c r="S6" s="443">
        <v>15</v>
      </c>
    </row>
    <row r="7" spans="1:19" s="1563" customFormat="1" ht="15.75" customHeight="1">
      <c r="A7" s="695"/>
      <c r="C7" s="114"/>
      <c r="D7" s="614"/>
      <c r="E7" s="614"/>
      <c r="F7" s="614"/>
      <c r="G7" s="614"/>
      <c r="H7" s="690"/>
      <c r="I7" s="475"/>
      <c r="R7" s="613"/>
      <c r="S7" s="694">
        <v>15</v>
      </c>
    </row>
    <row r="8" spans="1:19" ht="1.1499999999999999" customHeight="1">
      <c r="C8" s="114"/>
      <c r="D8" s="447"/>
      <c r="E8" s="447"/>
      <c r="F8" s="447"/>
      <c r="G8" s="447"/>
      <c r="H8" s="475" t="s">
        <v>116</v>
      </c>
      <c r="S8" s="443">
        <v>1</v>
      </c>
    </row>
    <row r="9" spans="1:19" ht="15.75" customHeight="1">
      <c r="C9" s="114"/>
      <c r="D9" s="649"/>
      <c r="E9" s="2289" t="s">
        <v>104</v>
      </c>
      <c r="F9" s="2290"/>
      <c r="G9" s="748" t="str">
        <f>IF(G8="","",INDEX(DIFFERENTIATION_UNMERGE_VD,MATCH(G8,DIFFERENTIATION_ID_DIFF,0)))</f>
        <v/>
      </c>
      <c r="H9" s="748" t="str">
        <f>IF(H8="","",INDEX(DIFFERENTIATION_UNMERGE_VD,MATCH(H8,DIFFERENTIATION_ID_DIFF,0)))</f>
        <v>Транспортировка. Питьевая вода</v>
      </c>
      <c r="I9" s="2066" t="s">
        <v>299</v>
      </c>
      <c r="S9" s="443">
        <v>15</v>
      </c>
    </row>
    <row r="10" spans="1:19" s="1563" customFormat="1" ht="15.75" customHeight="1">
      <c r="A10" s="695"/>
      <c r="C10" s="114"/>
      <c r="D10" s="649"/>
      <c r="E10" s="2289" t="s">
        <v>562</v>
      </c>
      <c r="F10" s="2290"/>
      <c r="G10" s="748" t="str">
        <f>IF(G8="","",INDEX(DIFFERENTIATION_UNMERGE_AREA,MATCH(G8,DIFFERENTIATION_ID_DIFF,0)))</f>
        <v/>
      </c>
      <c r="H10" s="748" t="str">
        <f>IF(H8="","",INDEX(DIFFERENTIATION_UNMERGE_AREA,MATCH(H8,DIFFERENTIATION_ID_DIFF,0)))</f>
        <v>Территория 1</v>
      </c>
      <c r="I10" s="2066"/>
      <c r="R10" s="613"/>
      <c r="S10" s="694">
        <v>15</v>
      </c>
    </row>
    <row r="11" spans="1:19" s="1563" customFormat="1" ht="15.75" customHeight="1">
      <c r="A11" s="695"/>
      <c r="C11" s="114"/>
      <c r="D11" s="649"/>
      <c r="E11" s="2289" t="s">
        <v>563</v>
      </c>
      <c r="F11" s="2290"/>
      <c r="G11" s="748" t="str">
        <f>IF(G8="","",INDEX(DIFFERENTIATION_UNMERGE_SYSTEM,MATCH(G8,DIFFERENTIATION_ID_DIFF,0)))</f>
        <v/>
      </c>
      <c r="H11" s="748" t="str">
        <f>IF(H8="","",INDEX(DIFFERENTIATION_UNMERGE_SYSTEM,MATCH(H8,DIFFERENTIATION_ID_DIFF,0)))</f>
        <v>без дифференциации</v>
      </c>
      <c r="I11" s="2066"/>
      <c r="R11" s="613"/>
      <c r="S11" s="694">
        <v>15</v>
      </c>
    </row>
    <row r="12" spans="1:19" s="1563" customFormat="1" ht="15.75" customHeight="1">
      <c r="A12" s="695"/>
      <c r="C12" s="114"/>
      <c r="D12" s="2291" t="s">
        <v>298</v>
      </c>
      <c r="E12" s="2292"/>
      <c r="F12" s="2292"/>
      <c r="G12" s="818"/>
      <c r="H12" s="818"/>
      <c r="I12" s="2066"/>
      <c r="R12" s="613"/>
      <c r="S12" s="694">
        <v>15</v>
      </c>
    </row>
    <row r="13" spans="1:19" ht="35.65" customHeight="1">
      <c r="C13" s="114"/>
      <c r="D13" s="697" t="s">
        <v>87</v>
      </c>
      <c r="E13" s="696" t="s">
        <v>300</v>
      </c>
      <c r="F13" s="696" t="s">
        <v>564</v>
      </c>
      <c r="G13" s="740" t="s">
        <v>301</v>
      </c>
      <c r="H13" s="692" t="s">
        <v>301</v>
      </c>
      <c r="I13" s="2066"/>
      <c r="S13" s="443">
        <v>34</v>
      </c>
    </row>
    <row r="14" spans="1:19" ht="15" hidden="1" customHeight="1">
      <c r="C14" s="114"/>
      <c r="D14" s="531" t="s">
        <v>108</v>
      </c>
      <c r="E14" s="531" t="s">
        <v>109</v>
      </c>
      <c r="F14" s="531" t="s">
        <v>89</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1113</v>
      </c>
      <c r="G15" s="623"/>
      <c r="H15" s="623">
        <v>0</v>
      </c>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1113</v>
      </c>
      <c r="G16" s="623"/>
      <c r="H16" s="623">
        <v>0</v>
      </c>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3">
        <v>15</v>
      </c>
    </row>
    <row r="17" spans="1:19" ht="77.650000000000006"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1113</v>
      </c>
      <c r="G17" s="623"/>
      <c r="H17" s="623">
        <v>0</v>
      </c>
      <c r="I17" s="146"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9" t="s">
        <v>304</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3">
        <v>57</v>
      </c>
    </row>
    <row r="20" spans="1:19" ht="15" hidden="1" customHeight="1">
      <c r="D20" s="447" t="s">
        <v>1114</v>
      </c>
      <c r="E20" s="626"/>
      <c r="F20" s="447"/>
      <c r="G20" s="447"/>
      <c r="H20" s="447"/>
      <c r="I20" s="1690"/>
      <c r="S20" s="443">
        <v>0</v>
      </c>
    </row>
    <row r="21" spans="1:19" ht="29.25" customHeight="1">
      <c r="C21" s="389"/>
      <c r="D21" s="477" t="s">
        <v>311</v>
      </c>
      <c r="E21" s="608" t="s">
        <v>1115</v>
      </c>
      <c r="F21" s="1688" t="str">
        <f>IF(TEMPLATE_SPHERE="HEAT","Гкал/час","тыс. куб. м/сутки")</f>
        <v>тыс. куб. м/сутки</v>
      </c>
      <c r="G21" s="618"/>
      <c r="H21" s="618"/>
      <c r="I21" s="211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3">
        <v>28</v>
      </c>
    </row>
    <row r="22" spans="1:19" ht="15.75" customHeight="1">
      <c r="A22" s="443"/>
      <c r="C22" s="443"/>
      <c r="D22" s="285"/>
      <c r="E22" s="518" t="s">
        <v>1116</v>
      </c>
      <c r="F22" s="510"/>
      <c r="G22" s="510"/>
      <c r="H22" s="510"/>
      <c r="I22" s="2112"/>
      <c r="R22" s="443"/>
      <c r="S22" s="443">
        <v>15</v>
      </c>
    </row>
    <row r="23" spans="1:19" ht="22.5" hidden="1" customHeight="1">
      <c r="A23" s="387" t="s">
        <v>81</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3" hidden="1" customWidth="1"/>
    <col min="2" max="2" width="9.1406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57031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1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17"/>
      <c r="F5" s="2117"/>
      <c r="G5" s="2118"/>
      <c r="Q5" s="23">
        <v>28</v>
      </c>
    </row>
    <row r="6" spans="1:17" s="1563" customFormat="1" ht="18.75" customHeight="1">
      <c r="A6" s="813"/>
      <c r="B6" s="355"/>
      <c r="C6" s="314"/>
      <c r="D6" s="2169" t="str">
        <f>IF(org=0,"Не определено",org)</f>
        <v>ООО "Профит"</v>
      </c>
      <c r="E6" s="2170"/>
      <c r="F6" s="2170"/>
      <c r="G6" s="2171"/>
      <c r="I6" s="438"/>
      <c r="J6" s="438"/>
      <c r="Q6" s="694">
        <v>18</v>
      </c>
    </row>
    <row r="7" spans="1:17" ht="14.65" customHeight="1">
      <c r="C7" s="36"/>
      <c r="D7" s="24"/>
      <c r="E7" s="35"/>
      <c r="F7" s="690"/>
      <c r="G7" s="131"/>
      <c r="Q7" s="23">
        <v>14</v>
      </c>
    </row>
    <row r="8" spans="1:17" s="1563" customFormat="1" ht="1.1499999999999999" customHeight="1">
      <c r="A8" s="1597"/>
      <c r="B8" s="1088"/>
      <c r="C8" s="314"/>
      <c r="D8" s="301"/>
      <c r="E8" s="327"/>
      <c r="F8" s="690"/>
      <c r="G8" s="131"/>
      <c r="I8" s="1552"/>
      <c r="J8" s="1552"/>
      <c r="Q8" s="1559">
        <v>1</v>
      </c>
    </row>
    <row r="9" spans="1:17" ht="14.65" customHeight="1">
      <c r="C9" s="36"/>
      <c r="D9" s="2155" t="s">
        <v>298</v>
      </c>
      <c r="E9" s="2155"/>
      <c r="F9" s="2155"/>
      <c r="G9" s="2296" t="s">
        <v>299</v>
      </c>
      <c r="Q9" s="23">
        <v>14</v>
      </c>
    </row>
    <row r="10" spans="1:17" ht="24" customHeight="1">
      <c r="C10" s="36"/>
      <c r="D10" s="45" t="s">
        <v>87</v>
      </c>
      <c r="E10" s="48" t="s">
        <v>300</v>
      </c>
      <c r="F10" s="48" t="s">
        <v>388</v>
      </c>
      <c r="G10" s="2296"/>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6" t="s">
        <v>304</v>
      </c>
      <c r="G12" s="89"/>
      <c r="Q12" s="23">
        <v>62</v>
      </c>
    </row>
    <row r="13" spans="1:17" ht="24" customHeight="1">
      <c r="A13" s="130"/>
      <c r="C13" s="36"/>
      <c r="D13" s="85" t="s">
        <v>1020</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304</v>
      </c>
      <c r="G13" s="89"/>
      <c r="Q13" s="23">
        <v>23</v>
      </c>
    </row>
    <row r="14" spans="1:17" ht="14.65" customHeight="1">
      <c r="A14" s="130"/>
      <c r="C14" s="36"/>
      <c r="D14" s="85" t="s">
        <v>1056</v>
      </c>
      <c r="E14" s="133"/>
      <c r="F14" s="151"/>
      <c r="G14" s="211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1117</v>
      </c>
      <c r="F15" s="139"/>
      <c r="G15" s="2112"/>
      <c r="Q15" s="23">
        <v>15</v>
      </c>
    </row>
    <row r="16" spans="1:17" ht="14.65" customHeight="1">
      <c r="A16" s="130"/>
      <c r="C16" s="36"/>
      <c r="D16" s="85" t="s">
        <v>1022</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6" t="s">
        <v>304</v>
      </c>
      <c r="G16" s="275"/>
      <c r="Q16" s="23">
        <v>14</v>
      </c>
    </row>
    <row r="17" spans="1:17" ht="14.65" customHeight="1">
      <c r="A17" s="130"/>
      <c r="C17" s="36"/>
      <c r="D17" s="85" t="s">
        <v>1064</v>
      </c>
      <c r="E17" s="133"/>
      <c r="F17" s="323"/>
      <c r="G17" s="211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3">
        <v>14</v>
      </c>
    </row>
    <row r="18" spans="1:17" s="1563" customFormat="1" ht="21.95" customHeight="1">
      <c r="A18" s="281"/>
      <c r="B18" s="84"/>
      <c r="C18" s="245"/>
      <c r="D18" s="285"/>
      <c r="E18" s="287" t="s">
        <v>1118</v>
      </c>
      <c r="F18" s="276"/>
      <c r="G18" s="2112"/>
      <c r="I18" s="288"/>
      <c r="J18" s="288"/>
      <c r="Q18" s="280">
        <v>21</v>
      </c>
    </row>
    <row r="19" spans="1:17" s="1563" customFormat="1" ht="256.5" hidden="1" customHeight="1">
      <c r="A19" s="281"/>
      <c r="B19" s="355"/>
      <c r="C19" s="314"/>
      <c r="D19" s="815" t="s">
        <v>1024</v>
      </c>
      <c r="E19" s="814" t="s">
        <v>1119</v>
      </c>
      <c r="F19" s="323"/>
      <c r="G19" s="275" t="s">
        <v>1120</v>
      </c>
      <c r="I19" s="438"/>
      <c r="J19" s="438"/>
      <c r="Q19" s="694">
        <v>0</v>
      </c>
    </row>
    <row r="20" spans="1:17" s="1563" customFormat="1" ht="14.65" customHeight="1">
      <c r="A20" s="281"/>
      <c r="B20" s="84"/>
      <c r="C20" s="245"/>
      <c r="D20" s="816">
        <v>2</v>
      </c>
      <c r="E20" s="268" t="s">
        <v>1121</v>
      </c>
      <c r="F20" s="136" t="s">
        <v>304</v>
      </c>
      <c r="G20" s="275"/>
      <c r="I20" s="288"/>
      <c r="J20" s="288"/>
      <c r="Q20" s="280">
        <v>14</v>
      </c>
    </row>
    <row r="21" spans="1:17" s="1563" customFormat="1" ht="18.75" hidden="1" customHeight="1">
      <c r="A21" s="281"/>
      <c r="B21" s="84"/>
      <c r="C21" s="245"/>
      <c r="D21" s="271" t="s">
        <v>634</v>
      </c>
      <c r="E21" s="270"/>
      <c r="F21" s="269"/>
      <c r="G21" s="279"/>
      <c r="H21" s="272"/>
      <c r="I21" s="288"/>
      <c r="J21" s="288"/>
      <c r="Q21" s="280">
        <v>0</v>
      </c>
    </row>
    <row r="22" spans="1:17" ht="15.75" customHeight="1">
      <c r="A22" s="130"/>
      <c r="C22" s="36"/>
      <c r="D22" s="49"/>
      <c r="E22" s="141" t="s">
        <v>320</v>
      </c>
      <c r="F22" s="276"/>
      <c r="G22" s="277"/>
      <c r="Q22" s="23">
        <v>15</v>
      </c>
    </row>
    <row r="23" spans="1:17" s="1563" customFormat="1" ht="22.5" hidden="1" customHeight="1">
      <c r="A23" s="281"/>
      <c r="B23" s="1088"/>
      <c r="C23" s="314"/>
      <c r="D23" s="1601" t="s">
        <v>109</v>
      </c>
      <c r="E23" s="135" t="s">
        <v>1122</v>
      </c>
      <c r="F23" s="1598" t="s">
        <v>304</v>
      </c>
      <c r="G23" s="283"/>
      <c r="I23" s="1552"/>
      <c r="J23" s="1552"/>
      <c r="Q23" s="1559">
        <v>0</v>
      </c>
    </row>
    <row r="24" spans="1:17" s="1563" customFormat="1" ht="14.25" hidden="1" customHeight="1">
      <c r="A24" s="281"/>
      <c r="B24" s="1088"/>
      <c r="C24" s="314"/>
      <c r="D24" s="1601" t="s">
        <v>707</v>
      </c>
      <c r="E24" s="1600" t="s">
        <v>1123</v>
      </c>
      <c r="F24" s="1598" t="s">
        <v>304</v>
      </c>
      <c r="G24" s="275"/>
      <c r="I24" s="1552"/>
      <c r="J24" s="1552"/>
      <c r="Q24" s="1559">
        <v>0</v>
      </c>
    </row>
    <row r="25" spans="1:17" s="1563" customFormat="1" ht="14.25" hidden="1" customHeight="1">
      <c r="A25" s="281"/>
      <c r="B25" s="1088"/>
      <c r="C25" s="314"/>
      <c r="D25" s="1601" t="s">
        <v>710</v>
      </c>
      <c r="E25" s="133"/>
      <c r="F25" s="323"/>
      <c r="G25" s="2110" t="s">
        <v>1124</v>
      </c>
      <c r="I25" s="1552"/>
      <c r="J25" s="1552"/>
      <c r="Q25" s="1559">
        <v>0</v>
      </c>
    </row>
    <row r="26" spans="1:17" s="1563" customFormat="1" ht="22.5" hidden="1" customHeight="1">
      <c r="A26" s="281"/>
      <c r="B26" s="1088"/>
      <c r="C26" s="314"/>
      <c r="D26" s="285"/>
      <c r="E26" s="287" t="s">
        <v>1125</v>
      </c>
      <c r="F26" s="276"/>
      <c r="G26" s="2112"/>
      <c r="I26" s="1552"/>
      <c r="J26" s="1552"/>
      <c r="Q26" s="1559">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20"/>
      <c r="Q29" s="23">
        <v>14</v>
      </c>
    </row>
    <row r="30" spans="1:17" ht="14.65" customHeight="1">
      <c r="Q30" s="23">
        <v>14</v>
      </c>
    </row>
    <row r="31" spans="1:17" ht="14.65" customHeight="1">
      <c r="E31" s="694"/>
      <c r="Q31" s="23">
        <v>14</v>
      </c>
    </row>
    <row r="32" spans="1:17" ht="22.5" hidden="1" customHeight="1">
      <c r="A32" s="41" t="s">
        <v>81</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3" hidden="1" customWidth="1"/>
    <col min="2" max="2" width="9.140625" style="1294" hidden="1" customWidth="1"/>
    <col min="3" max="3" width="3" style="282" customWidth="1"/>
    <col min="4" max="4" width="6" style="1563" customWidth="1"/>
    <col min="5" max="5" width="63" style="1563" customWidth="1"/>
    <col min="6" max="6" width="1.7109375" style="1563" hidden="1" customWidth="1"/>
    <col min="7" max="8" width="35" style="1563" customWidth="1"/>
    <col min="9" max="9" width="91" style="1563" customWidth="1"/>
    <col min="10" max="10" width="68" style="1563" customWidth="1"/>
    <col min="11" max="12" width="10" style="1552" customWidth="1"/>
    <col min="13" max="13" width="10.5703125" style="1563" hidden="1"/>
  </cols>
  <sheetData>
    <row r="1" spans="1:13" ht="22.5" hidden="1" customHeight="1">
      <c r="M1" s="23" t="s">
        <v>14</v>
      </c>
    </row>
    <row r="2" spans="1:13" s="1563" customFormat="1" ht="18.75" hidden="1" customHeight="1">
      <c r="A2" s="1611"/>
      <c r="B2" s="1088"/>
      <c r="C2" s="1657" t="s">
        <v>687</v>
      </c>
      <c r="D2" s="1601"/>
      <c r="E2" s="137"/>
      <c r="F2" s="1598"/>
      <c r="G2" s="1598" t="s">
        <v>304</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687</v>
      </c>
      <c r="D4" s="1601"/>
      <c r="E4" s="143" t="s">
        <v>1126</v>
      </c>
      <c r="F4" s="1598"/>
      <c r="G4" s="195"/>
      <c r="H4" s="1598" t="s">
        <v>304</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687</v>
      </c>
      <c r="D6" s="1601"/>
      <c r="E6" s="144" t="s">
        <v>1127</v>
      </c>
      <c r="F6" s="1598"/>
      <c r="G6" s="195"/>
      <c r="H6" s="1598" t="s">
        <v>304</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687</v>
      </c>
      <c r="D8" s="1601"/>
      <c r="E8" s="144" t="s">
        <v>1128</v>
      </c>
      <c r="F8" s="1598"/>
      <c r="G8" s="195"/>
      <c r="H8" s="1598" t="s">
        <v>304</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687</v>
      </c>
      <c r="D10" s="1601"/>
      <c r="E10" s="144" t="s">
        <v>1129</v>
      </c>
      <c r="F10" s="1598"/>
      <c r="G10" s="1602"/>
      <c r="H10" s="1598" t="s">
        <v>304</v>
      </c>
      <c r="K10" s="1552"/>
      <c r="L10" s="1552" t="s">
        <v>1130</v>
      </c>
      <c r="M10" s="1559">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1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17"/>
      <c r="F14" s="2117"/>
      <c r="G14" s="2117"/>
      <c r="H14" s="2118"/>
      <c r="J14" s="1559"/>
      <c r="M14" s="23">
        <v>28</v>
      </c>
    </row>
    <row r="15" spans="1:13" s="1563" customFormat="1" ht="14.65" customHeight="1">
      <c r="A15" s="1290"/>
      <c r="B15" s="1088"/>
      <c r="C15" s="314"/>
      <c r="D15" s="2169" t="str">
        <f>IF(org=0,"Не определено",org)</f>
        <v>ООО "Профит"</v>
      </c>
      <c r="E15" s="2170"/>
      <c r="F15" s="2170"/>
      <c r="G15" s="2170"/>
      <c r="H15" s="2171"/>
      <c r="J15" s="784"/>
      <c r="K15" s="1552"/>
      <c r="L15" s="1552"/>
      <c r="M15" s="1559">
        <v>14</v>
      </c>
    </row>
    <row r="16" spans="1:13" ht="14.65"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1.95" customHeight="1">
      <c r="C18" s="36"/>
      <c r="D18" s="2155" t="s">
        <v>298</v>
      </c>
      <c r="E18" s="2155"/>
      <c r="F18" s="2155"/>
      <c r="G18" s="2155"/>
      <c r="H18" s="2155"/>
      <c r="I18" s="2296" t="s">
        <v>299</v>
      </c>
      <c r="M18" s="23">
        <v>21</v>
      </c>
    </row>
    <row r="19" spans="1:13" ht="21.95" customHeight="1">
      <c r="C19" s="36"/>
      <c r="D19" s="45" t="s">
        <v>87</v>
      </c>
      <c r="E19" s="48" t="s">
        <v>300</v>
      </c>
      <c r="F19" s="48"/>
      <c r="G19" s="48" t="s">
        <v>301</v>
      </c>
      <c r="H19" s="48" t="s">
        <v>388</v>
      </c>
      <c r="I19" s="2296"/>
      <c r="M19" s="23">
        <v>21</v>
      </c>
    </row>
    <row r="20" spans="1:13" ht="12" hidden="1" customHeight="1">
      <c r="C20" s="36"/>
      <c r="D20" s="27"/>
      <c r="E20" s="27"/>
      <c r="F20" s="27"/>
      <c r="G20" s="27"/>
      <c r="H20" s="27"/>
      <c r="I20" s="27"/>
      <c r="M20" s="23">
        <v>0</v>
      </c>
    </row>
    <row r="21" spans="1:13" ht="14.65" customHeight="1">
      <c r="A21" s="1611"/>
      <c r="C21" s="36"/>
      <c r="D21" s="85">
        <v>1</v>
      </c>
      <c r="E21" s="2347" t="s">
        <v>1131</v>
      </c>
      <c r="F21" s="2347"/>
      <c r="G21" s="2347"/>
      <c r="H21" s="2347"/>
      <c r="I21" s="146"/>
      <c r="M21" s="23">
        <v>14</v>
      </c>
    </row>
    <row r="22" spans="1:13" ht="21" customHeight="1">
      <c r="A22" s="1611"/>
      <c r="C22" s="36"/>
      <c r="D22" s="85" t="s">
        <v>1020</v>
      </c>
      <c r="E22" s="132" t="s">
        <v>1132</v>
      </c>
      <c r="F22" s="136"/>
      <c r="G22" s="1664"/>
      <c r="H22" s="136" t="s">
        <v>304</v>
      </c>
      <c r="I22" s="89" t="s">
        <v>1133</v>
      </c>
      <c r="M22" s="23">
        <v>20</v>
      </c>
    </row>
    <row r="23" spans="1:13" ht="60" customHeight="1">
      <c r="A23" s="1611"/>
      <c r="C23" s="36"/>
      <c r="D23" s="85" t="s">
        <v>1022</v>
      </c>
      <c r="E23" s="132" t="s">
        <v>1134</v>
      </c>
      <c r="F23" s="136"/>
      <c r="G23" s="195"/>
      <c r="H23" s="151"/>
      <c r="I23" s="196" t="s">
        <v>1135</v>
      </c>
      <c r="M23" s="23">
        <v>57</v>
      </c>
    </row>
    <row r="24" spans="1:13" ht="14.65"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6"/>
      <c r="G24" s="136" t="s">
        <v>304</v>
      </c>
      <c r="H24" s="151"/>
      <c r="I24" s="197" t="s">
        <v>629</v>
      </c>
      <c r="M24" s="23">
        <v>14</v>
      </c>
    </row>
    <row r="25" spans="1:13" ht="48.2" customHeight="1">
      <c r="A25" s="1611"/>
      <c r="C25" s="36"/>
      <c r="D25" s="85">
        <v>3</v>
      </c>
      <c r="E25" s="234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47"/>
      <c r="G25" s="2347"/>
      <c r="H25" s="2347"/>
      <c r="I25" s="194"/>
      <c r="M25" s="23">
        <v>46</v>
      </c>
    </row>
    <row r="26" spans="1:13" ht="14.65" customHeight="1">
      <c r="A26" s="1611"/>
      <c r="C26" s="36"/>
      <c r="D26" s="85" t="s">
        <v>322</v>
      </c>
      <c r="E26" s="137"/>
      <c r="F26" s="136"/>
      <c r="G26" s="136" t="s">
        <v>304</v>
      </c>
      <c r="H26" s="151"/>
      <c r="I26" s="2110" t="s">
        <v>1136</v>
      </c>
      <c r="M26" s="23">
        <v>14</v>
      </c>
    </row>
    <row r="27" spans="1:13" ht="15.75" customHeight="1">
      <c r="A27" s="1611" t="s">
        <v>108</v>
      </c>
      <c r="C27" s="36"/>
      <c r="D27" s="49"/>
      <c r="E27" s="141" t="s">
        <v>320</v>
      </c>
      <c r="F27" s="142"/>
      <c r="G27" s="142"/>
      <c r="H27" s="139"/>
      <c r="I27" s="2112"/>
      <c r="M27" s="23">
        <v>15</v>
      </c>
    </row>
    <row r="28" spans="1:13" ht="39.75" customHeight="1">
      <c r="A28" s="1611"/>
      <c r="B28" s="84">
        <v>3</v>
      </c>
      <c r="C28" s="36"/>
      <c r="D28" s="85">
        <v>4</v>
      </c>
      <c r="E28" s="234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47"/>
      <c r="G28" s="2347"/>
      <c r="H28" s="2347"/>
      <c r="I28" s="194"/>
      <c r="M28" s="23">
        <v>38</v>
      </c>
    </row>
    <row r="29" spans="1:13" ht="21" customHeight="1">
      <c r="A29" s="1611"/>
      <c r="C29" s="36"/>
      <c r="D29" s="85" t="s">
        <v>752</v>
      </c>
      <c r="E29" s="143" t="s">
        <v>1126</v>
      </c>
      <c r="F29" s="136"/>
      <c r="G29" s="195"/>
      <c r="H29" s="136" t="s">
        <v>304</v>
      </c>
      <c r="I29" s="2110" t="s">
        <v>1137</v>
      </c>
      <c r="M29" s="23">
        <v>20</v>
      </c>
    </row>
    <row r="30" spans="1:13" ht="15.75" customHeight="1">
      <c r="A30" s="1611" t="s">
        <v>109</v>
      </c>
      <c r="C30" s="36"/>
      <c r="D30" s="49"/>
      <c r="E30" s="141" t="s">
        <v>320</v>
      </c>
      <c r="F30" s="142"/>
      <c r="G30" s="142"/>
      <c r="H30" s="139"/>
      <c r="I30" s="2112"/>
      <c r="M30" s="23">
        <v>15</v>
      </c>
    </row>
    <row r="31" spans="1:13" ht="31.5" customHeight="1">
      <c r="A31" s="1611"/>
      <c r="B31" s="84">
        <v>3</v>
      </c>
      <c r="C31" s="36"/>
      <c r="D31" s="85">
        <v>5</v>
      </c>
      <c r="E31" s="234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47"/>
      <c r="G31" s="2347"/>
      <c r="H31" s="2347"/>
      <c r="I31" s="194"/>
      <c r="M31" s="23">
        <v>30</v>
      </c>
    </row>
    <row r="32" spans="1:13" ht="27.4" customHeight="1">
      <c r="A32" s="1611"/>
      <c r="C32" s="36"/>
      <c r="D32" s="85" t="s">
        <v>311</v>
      </c>
      <c r="E32" s="231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10"/>
      <c r="G32" s="2310"/>
      <c r="H32" s="2310"/>
      <c r="I32" s="194"/>
      <c r="M32" s="23">
        <v>26</v>
      </c>
    </row>
    <row r="33" spans="1:13" ht="14.65" customHeight="1">
      <c r="A33" s="1611"/>
      <c r="C33" s="36"/>
      <c r="D33" s="85" t="s">
        <v>1138</v>
      </c>
      <c r="E33" s="144" t="s">
        <v>1127</v>
      </c>
      <c r="F33" s="136"/>
      <c r="G33" s="195"/>
      <c r="H33" s="136" t="s">
        <v>304</v>
      </c>
      <c r="I33" s="2110" t="s">
        <v>1139</v>
      </c>
      <c r="M33" s="23">
        <v>14</v>
      </c>
    </row>
    <row r="34" spans="1:13" ht="15.75" customHeight="1">
      <c r="A34" s="1611" t="s">
        <v>89</v>
      </c>
      <c r="C34" s="36"/>
      <c r="D34" s="49"/>
      <c r="E34" s="142" t="s">
        <v>320</v>
      </c>
      <c r="F34" s="138"/>
      <c r="G34" s="138"/>
      <c r="H34" s="139"/>
      <c r="I34" s="2112"/>
      <c r="M34" s="23">
        <v>15</v>
      </c>
    </row>
    <row r="35" spans="1:13" ht="25.15" customHeight="1">
      <c r="A35" s="1611"/>
      <c r="C35" s="36"/>
      <c r="D35" s="85" t="s">
        <v>880</v>
      </c>
      <c r="E35" s="231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10"/>
      <c r="G35" s="2310"/>
      <c r="H35" s="2310"/>
      <c r="I35" s="194"/>
      <c r="M35" s="23">
        <v>24</v>
      </c>
    </row>
    <row r="36" spans="1:13" ht="14.65" customHeight="1">
      <c r="A36" s="1611"/>
      <c r="C36" s="36"/>
      <c r="D36" s="85" t="s">
        <v>1140</v>
      </c>
      <c r="E36" s="144" t="s">
        <v>1128</v>
      </c>
      <c r="F36" s="136"/>
      <c r="G36" s="195"/>
      <c r="H36" s="136" t="s">
        <v>304</v>
      </c>
      <c r="I36" s="2088" t="s">
        <v>1141</v>
      </c>
      <c r="M36" s="23">
        <v>14</v>
      </c>
    </row>
    <row r="37" spans="1:13" ht="15.75" customHeight="1">
      <c r="A37" s="1611" t="s">
        <v>90</v>
      </c>
      <c r="C37" s="36"/>
      <c r="D37" s="49"/>
      <c r="E37" s="142" t="s">
        <v>320</v>
      </c>
      <c r="F37" s="138"/>
      <c r="G37" s="138"/>
      <c r="H37" s="139"/>
      <c r="I37" s="2088"/>
      <c r="M37" s="23">
        <v>15</v>
      </c>
    </row>
    <row r="38" spans="1:13" ht="27.4" customHeight="1">
      <c r="A38" s="1611"/>
      <c r="C38" s="36"/>
      <c r="D38" s="85" t="s">
        <v>881</v>
      </c>
      <c r="E38" s="231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10"/>
      <c r="G38" s="2310"/>
      <c r="H38" s="2310"/>
      <c r="I38" s="194"/>
      <c r="M38" s="23">
        <v>26</v>
      </c>
    </row>
    <row r="39" spans="1:13" ht="14.65" customHeight="1">
      <c r="A39" s="1611"/>
      <c r="C39" s="36"/>
      <c r="D39" s="85" t="s">
        <v>882</v>
      </c>
      <c r="E39" s="144" t="s">
        <v>1129</v>
      </c>
      <c r="F39" s="136"/>
      <c r="G39" s="145"/>
      <c r="H39" s="136" t="s">
        <v>304</v>
      </c>
      <c r="I39" s="2110" t="s">
        <v>1142</v>
      </c>
      <c r="L39" s="93" t="s">
        <v>1130</v>
      </c>
      <c r="M39" s="23">
        <v>14</v>
      </c>
    </row>
    <row r="40" spans="1:13" ht="15.75" customHeight="1">
      <c r="A40" s="1611" t="s">
        <v>110</v>
      </c>
      <c r="C40" s="36"/>
      <c r="D40" s="49"/>
      <c r="E40" s="142" t="s">
        <v>320</v>
      </c>
      <c r="F40" s="138"/>
      <c r="G40" s="138"/>
      <c r="H40" s="139"/>
      <c r="I40" s="2112"/>
      <c r="M40" s="23">
        <v>15</v>
      </c>
    </row>
    <row r="41" spans="1:13" s="1749" customFormat="1" ht="3" customHeight="1">
      <c r="A41" s="1611"/>
      <c r="K41" s="134"/>
      <c r="L41" s="134"/>
      <c r="M41" s="79">
        <v>3</v>
      </c>
    </row>
    <row r="42" spans="1:13" ht="26.25" customHeight="1">
      <c r="D42" s="1609" t="s">
        <v>802</v>
      </c>
      <c r="E42" s="219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93"/>
      <c r="G42" s="2193"/>
      <c r="H42" s="2193"/>
      <c r="I42" s="2193"/>
      <c r="M42" s="23">
        <v>25</v>
      </c>
    </row>
    <row r="43" spans="1:13" ht="22.5" hidden="1" customHeight="1">
      <c r="A43" s="1290" t="s">
        <v>81</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6" hidden="1" customWidth="1"/>
    <col min="3" max="3" width="9.140625" style="1615" hidden="1" customWidth="1"/>
    <col min="4" max="4" width="3" style="282" customWidth="1"/>
    <col min="5" max="5" width="6" style="1563" customWidth="1"/>
    <col min="6" max="6" width="46.7109375" style="1563" customWidth="1"/>
    <col min="7" max="7" width="35" style="1563" customWidth="1"/>
    <col min="8" max="8" width="3" style="1563" customWidth="1"/>
    <col min="9" max="10" width="11" style="1563" customWidth="1"/>
    <col min="11" max="12" width="35" style="1563" customWidth="1"/>
    <col min="13" max="13" width="84" style="1563" customWidth="1"/>
    <col min="14" max="14" width="10" style="1563" customWidth="1"/>
    <col min="15" max="16" width="10" style="1552" customWidth="1"/>
    <col min="17" max="33" width="10" style="1563" customWidth="1"/>
    <col min="34" max="34" width="10.5703125" style="1563" hidden="1"/>
  </cols>
  <sheetData>
    <row r="1" spans="1:34" s="1563" customFormat="1" ht="22.5" hidden="1" customHeight="1">
      <c r="A1" s="1706"/>
      <c r="B1" s="1706"/>
      <c r="C1" s="307"/>
      <c r="D1" s="282"/>
      <c r="N1" s="1564">
        <f>IFERROR(MATCH("метод экономически обоснованных расходов (затрат)",OFFER_METHOD,0),0)</f>
        <v>0</v>
      </c>
      <c r="O1" s="1552"/>
      <c r="P1" s="1552"/>
      <c r="T1" s="763"/>
      <c r="AG1" s="193"/>
      <c r="AH1" s="1559" t="s">
        <v>14</v>
      </c>
    </row>
    <row r="2" spans="1:34" s="1563" customFormat="1" ht="18.75" hidden="1" customHeight="1">
      <c r="A2" s="1707" t="s">
        <v>155</v>
      </c>
      <c r="B2" s="1707" t="s">
        <v>156</v>
      </c>
      <c r="C2" s="307"/>
      <c r="D2" s="282"/>
      <c r="E2" s="962"/>
      <c r="F2" s="962"/>
      <c r="G2" s="2323" t="str">
        <f>INDEX(PT_DIFFERENTIATION_NTAR,MATCH(B2,PT_DIFFERENTIATION_NTAR_ID,0))</f>
        <v/>
      </c>
      <c r="H2" s="1790"/>
      <c r="I2" s="1666"/>
      <c r="J2" s="1700"/>
      <c r="K2" s="1791"/>
      <c r="L2" s="1790" t="s">
        <v>304</v>
      </c>
      <c r="M2" s="1801"/>
      <c r="N2" s="272"/>
      <c r="O2" s="1552"/>
      <c r="P2" s="1552"/>
      <c r="AH2" s="1559">
        <v>0</v>
      </c>
    </row>
    <row r="3" spans="1:34" s="1563" customFormat="1" ht="18.75" hidden="1" customHeight="1">
      <c r="A3" s="1707"/>
      <c r="B3" s="1707"/>
      <c r="C3" s="307" t="s">
        <v>1143</v>
      </c>
      <c r="D3" s="282"/>
      <c r="E3" s="962"/>
      <c r="F3" s="962"/>
      <c r="G3" s="2323"/>
      <c r="H3" s="1428"/>
      <c r="I3" s="589" t="s">
        <v>1144</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0</v>
      </c>
      <c r="O4" s="1552"/>
      <c r="P4" s="1552"/>
      <c r="T4" s="763"/>
      <c r="AG4" s="193"/>
      <c r="AH4" s="1559">
        <v>0</v>
      </c>
    </row>
    <row r="5" spans="1:34" s="1563" customFormat="1" ht="18.75" hidden="1" customHeight="1">
      <c r="A5" s="1707" t="s">
        <v>155</v>
      </c>
      <c r="B5" s="1707" t="s">
        <v>156</v>
      </c>
      <c r="C5" s="307"/>
      <c r="D5" s="282"/>
      <c r="E5" s="962"/>
      <c r="F5" s="962"/>
      <c r="G5" s="2323" t="str">
        <f>INDEX(PT_DIFFERENTIATION_NTAR,MATCH(B5,PT_DIFFERENTIATION_NTAR_ID,0))</f>
        <v/>
      </c>
      <c r="H5" s="1790"/>
      <c r="I5" s="1666"/>
      <c r="J5" s="1700"/>
      <c r="K5" s="1705"/>
      <c r="L5" s="1790" t="s">
        <v>304</v>
      </c>
      <c r="M5" s="1801"/>
      <c r="N5" s="272"/>
      <c r="O5" s="1552"/>
      <c r="P5" s="1552"/>
      <c r="AH5" s="1559">
        <v>0</v>
      </c>
    </row>
    <row r="6" spans="1:34" s="1563" customFormat="1" ht="18.75" hidden="1" customHeight="1">
      <c r="A6" s="1707"/>
      <c r="B6" s="1707"/>
      <c r="C6" s="307" t="s">
        <v>1145</v>
      </c>
      <c r="D6" s="282"/>
      <c r="E6" s="962"/>
      <c r="F6" s="962"/>
      <c r="G6" s="2323"/>
      <c r="H6" s="1428"/>
      <c r="I6" s="589" t="s">
        <v>1144</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0</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304</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304</v>
      </c>
      <c r="M10" s="1801"/>
      <c r="N10" s="272"/>
      <c r="O10" s="1552"/>
      <c r="P10" s="1552"/>
      <c r="AH10" s="1559">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34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49"/>
      <c r="G14" s="2349"/>
      <c r="H14" s="2349"/>
      <c r="I14" s="2349"/>
      <c r="J14" s="2349"/>
      <c r="K14" s="2349"/>
      <c r="L14" s="2349"/>
      <c r="M14" s="158"/>
      <c r="AH14" s="312">
        <v>14</v>
      </c>
    </row>
    <row r="15" spans="1:34" ht="6.4"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утверждении тарифов</v>
      </c>
      <c r="G16" s="2186" t="str">
        <f>IF(TITLE_DATE_PR_CHANGE="",IF(TITLE_DATE_PR="","",TITLE_DATE_PR),TITLE_DATE_PR_CHANGE)</f>
        <v/>
      </c>
      <c r="H16" s="2186"/>
      <c r="I16" s="2186"/>
      <c r="J16" s="2186"/>
      <c r="K16" s="2186"/>
      <c r="L16" s="2186"/>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утверждении тарифов</v>
      </c>
      <c r="G17" s="2187" t="str">
        <f>IF(TITLE_NUMBER_PR_CHANGE="",IF(TITLE_NUMBER_PR="","",TITLE_NUMBER_PR),TITLE_NUMBER_PR_CHANGE)</f>
        <v/>
      </c>
      <c r="H17" s="2187"/>
      <c r="I17" s="2187"/>
      <c r="J17" s="2187"/>
      <c r="K17" s="2187"/>
      <c r="L17" s="2187"/>
      <c r="M17" s="336"/>
      <c r="N17" s="264"/>
      <c r="AH17" s="312">
        <v>23</v>
      </c>
    </row>
    <row r="18" spans="1:34" ht="14.65" customHeight="1">
      <c r="D18" s="314"/>
      <c r="E18" s="301"/>
      <c r="F18" s="327"/>
      <c r="G18" s="327"/>
      <c r="H18" s="327"/>
      <c r="I18" s="327"/>
      <c r="J18" s="327"/>
      <c r="K18" s="327"/>
      <c r="L18" s="690"/>
      <c r="M18" s="131"/>
      <c r="AH18" s="312">
        <v>14</v>
      </c>
    </row>
    <row r="19" spans="1:34" ht="21.95" customHeight="1">
      <c r="D19" s="314"/>
      <c r="E19" s="2155" t="s">
        <v>298</v>
      </c>
      <c r="F19" s="2155"/>
      <c r="G19" s="2155"/>
      <c r="H19" s="2155"/>
      <c r="I19" s="2155"/>
      <c r="J19" s="2155"/>
      <c r="K19" s="2155"/>
      <c r="L19" s="2155"/>
      <c r="M19" s="2296" t="s">
        <v>299</v>
      </c>
      <c r="AH19" s="312">
        <v>21</v>
      </c>
    </row>
    <row r="20" spans="1:34" ht="21.95" customHeight="1">
      <c r="D20" s="314"/>
      <c r="E20" s="2211" t="s">
        <v>87</v>
      </c>
      <c r="F20" s="2161" t="s">
        <v>122</v>
      </c>
      <c r="G20" s="2161" t="s">
        <v>123</v>
      </c>
      <c r="H20" s="2293" t="s">
        <v>1146</v>
      </c>
      <c r="I20" s="2294"/>
      <c r="J20" s="2325"/>
      <c r="K20" s="2161" t="s">
        <v>301</v>
      </c>
      <c r="L20" s="2161" t="s">
        <v>388</v>
      </c>
      <c r="M20" s="2296"/>
      <c r="AH20" s="312">
        <v>21</v>
      </c>
    </row>
    <row r="21" spans="1:34" ht="21.95" customHeight="1">
      <c r="D21" s="314"/>
      <c r="E21" s="2213"/>
      <c r="F21" s="2162"/>
      <c r="G21" s="2162"/>
      <c r="H21" s="2160" t="s">
        <v>1147</v>
      </c>
      <c r="I21" s="2174"/>
      <c r="J21" s="48" t="s">
        <v>1148</v>
      </c>
      <c r="K21" s="2162"/>
      <c r="L21" s="2162"/>
      <c r="M21" s="2296"/>
      <c r="AH21" s="312">
        <v>21</v>
      </c>
    </row>
    <row r="22" spans="1:34" ht="12.75" customHeight="1">
      <c r="D22" s="314"/>
      <c r="E22" s="219"/>
      <c r="F22" s="219"/>
      <c r="G22" s="219"/>
      <c r="H22" s="2351"/>
      <c r="I22" s="2351"/>
      <c r="J22" s="219"/>
      <c r="K22" s="219"/>
      <c r="L22" s="219"/>
      <c r="M22" s="219"/>
      <c r="AH22" s="312">
        <v>12</v>
      </c>
    </row>
    <row r="23" spans="1:34" ht="19.899999999999999" customHeight="1">
      <c r="A23" s="1707"/>
      <c r="B23" s="1707"/>
      <c r="D23" s="314"/>
      <c r="E23" s="1792" t="s">
        <v>108</v>
      </c>
      <c r="F23" s="2352" t="str">
        <f>"Предлагаемый метод регулирования"&amp;IF(TEMPLATE_SPHERE="HEAT"," в сфере "&amp;TEMPLATE_SPHERE_RUS,"")</f>
        <v>Предлагаемый метод регулирования</v>
      </c>
      <c r="G23" s="2352"/>
      <c r="H23" s="2347"/>
      <c r="I23" s="2347"/>
      <c r="J23" s="2347"/>
      <c r="K23" s="2352" t="s">
        <v>304</v>
      </c>
      <c r="L23" s="2347"/>
      <c r="M23" s="1696"/>
      <c r="N23" s="272"/>
      <c r="AH23" s="312">
        <v>19</v>
      </c>
    </row>
    <row r="24" spans="1:34" ht="60.75" hidden="1" customHeight="1">
      <c r="A24" s="1707" t="s">
        <v>155</v>
      </c>
      <c r="B24" s="1707" t="s">
        <v>156</v>
      </c>
      <c r="D24" s="2350"/>
      <c r="E24" s="2150"/>
      <c r="F24" s="235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3" t="str">
        <f>INDEX(PT_DIFFERENTIATION_NTAR,MATCH(B24,PT_DIFFERENTIATION_NTAR_ID,0))</f>
        <v/>
      </c>
      <c r="H24" s="1788"/>
      <c r="I24" s="1666"/>
      <c r="J24" s="1700"/>
      <c r="K24" s="1791"/>
      <c r="L24" s="1695" t="s">
        <v>304</v>
      </c>
      <c r="M24"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1143</v>
      </c>
      <c r="D25" s="2350"/>
      <c r="E25" s="2150"/>
      <c r="F25" s="2353"/>
      <c r="G25" s="2323"/>
      <c r="H25" s="1428"/>
      <c r="I25" s="589" t="s">
        <v>1144</v>
      </c>
      <c r="J25" s="509"/>
      <c r="K25" s="1428"/>
      <c r="L25" s="152"/>
      <c r="M25" s="2111"/>
      <c r="N25" s="272"/>
      <c r="O25" s="1552"/>
      <c r="P25" s="1552"/>
      <c r="AH25" s="1559">
        <v>0</v>
      </c>
    </row>
    <row r="26" spans="1:34" ht="0.75" hidden="1" customHeight="1">
      <c r="A26" s="1707"/>
      <c r="B26" s="1707"/>
      <c r="C26" s="307" t="s">
        <v>1149</v>
      </c>
      <c r="D26" s="2350"/>
      <c r="E26" s="2150"/>
      <c r="F26" s="2282"/>
      <c r="G26" s="338"/>
      <c r="H26" s="1428"/>
      <c r="I26" s="333"/>
      <c r="J26" s="287"/>
      <c r="K26" s="1428"/>
      <c r="L26" s="139"/>
      <c r="M26" s="2111"/>
      <c r="N26" s="272"/>
      <c r="AH26" s="312">
        <v>0</v>
      </c>
    </row>
    <row r="27" spans="1:34" s="1563" customFormat="1" ht="45" hidden="1" customHeight="1">
      <c r="A27" s="1707" t="s">
        <v>160</v>
      </c>
      <c r="B27" s="1707" t="s">
        <v>161</v>
      </c>
      <c r="C27" s="307"/>
      <c r="D27" s="2348"/>
      <c r="E27" s="2354"/>
      <c r="F27" s="2355" t="str">
        <f>INDEX(PT_DIFFERENTIATION_VTAR,MATCH(A27,PT_DIFFERENTIATION_VTAR_ID,0))</f>
        <v/>
      </c>
      <c r="G27" s="2323" t="str">
        <f>INDEX(PT_DIFFERENTIATION_NTAR,MATCH(B27,PT_DIFFERENTIATION_NTAR_ID,0))</f>
        <v/>
      </c>
      <c r="H27" s="1788"/>
      <c r="I27" s="1666"/>
      <c r="J27" s="1700"/>
      <c r="K27" s="1791"/>
      <c r="L27" s="1788" t="s">
        <v>304</v>
      </c>
      <c r="M27" s="2111"/>
      <c r="N27" s="272"/>
      <c r="O27" s="1552"/>
      <c r="P27" s="1552"/>
      <c r="AH27" s="1559">
        <v>0</v>
      </c>
    </row>
    <row r="28" spans="1:34" s="1563" customFormat="1" ht="18.75" hidden="1" customHeight="1">
      <c r="A28" s="1707"/>
      <c r="B28" s="1707"/>
      <c r="C28" s="307" t="s">
        <v>1143</v>
      </c>
      <c r="D28" s="2348"/>
      <c r="E28" s="2354"/>
      <c r="F28" s="2355"/>
      <c r="G28" s="2323"/>
      <c r="H28" s="1428"/>
      <c r="I28" s="589" t="s">
        <v>1144</v>
      </c>
      <c r="J28" s="509"/>
      <c r="K28" s="1428"/>
      <c r="L28" s="152"/>
      <c r="M28" s="2111"/>
      <c r="N28" s="272"/>
      <c r="O28" s="1552"/>
      <c r="P28" s="1552"/>
      <c r="AH28" s="1559">
        <v>0</v>
      </c>
    </row>
    <row r="29" spans="1:34" s="1563" customFormat="1" ht="0.75" hidden="1" customHeight="1">
      <c r="A29" s="1707"/>
      <c r="B29" s="1707"/>
      <c r="C29" s="307" t="s">
        <v>1149</v>
      </c>
      <c r="D29" s="2348"/>
      <c r="E29" s="2150"/>
      <c r="F29" s="2282"/>
      <c r="G29" s="338"/>
      <c r="H29" s="1428"/>
      <c r="I29" s="589"/>
      <c r="J29" s="509"/>
      <c r="K29" s="1428"/>
      <c r="L29" s="152"/>
      <c r="M29" s="2111"/>
      <c r="N29" s="272"/>
      <c r="O29" s="1552"/>
      <c r="P29" s="1552"/>
      <c r="AH29" s="1559">
        <v>0</v>
      </c>
    </row>
    <row r="30" spans="1:34" s="1563" customFormat="1" ht="45" hidden="1" customHeight="1">
      <c r="A30" s="1707" t="s">
        <v>167</v>
      </c>
      <c r="B30" s="1707" t="s">
        <v>168</v>
      </c>
      <c r="C30" s="307"/>
      <c r="D30" s="2348"/>
      <c r="E30" s="2150"/>
      <c r="F30" s="228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3" t="str">
        <f>INDEX(PT_DIFFERENTIATION_NTAR,MATCH(B30,PT_DIFFERENTIATION_NTAR_ID,0))</f>
        <v/>
      </c>
      <c r="H30" s="1788"/>
      <c r="I30" s="1666"/>
      <c r="J30" s="1700"/>
      <c r="K30" s="1791"/>
      <c r="L30" s="1788" t="s">
        <v>304</v>
      </c>
      <c r="M30" s="2111"/>
      <c r="N30" s="272"/>
      <c r="O30" s="1552"/>
      <c r="P30" s="1552"/>
      <c r="AH30" s="1559">
        <v>0</v>
      </c>
    </row>
    <row r="31" spans="1:34" s="1563" customFormat="1" ht="18.75" hidden="1" customHeight="1">
      <c r="A31" s="1707"/>
      <c r="B31" s="1707"/>
      <c r="C31" s="307" t="s">
        <v>1143</v>
      </c>
      <c r="D31" s="2348"/>
      <c r="E31" s="2150"/>
      <c r="F31" s="2282"/>
      <c r="G31" s="2323"/>
      <c r="H31" s="1428"/>
      <c r="I31" s="589" t="s">
        <v>1144</v>
      </c>
      <c r="J31" s="509"/>
      <c r="K31" s="1428"/>
      <c r="L31" s="152"/>
      <c r="M31" s="2111"/>
      <c r="N31" s="272"/>
      <c r="O31" s="1552"/>
      <c r="P31" s="1552"/>
      <c r="AH31" s="1559">
        <v>0</v>
      </c>
    </row>
    <row r="32" spans="1:34" s="1563" customFormat="1" ht="0.75" hidden="1" customHeight="1">
      <c r="A32" s="1707"/>
      <c r="B32" s="1707"/>
      <c r="C32" s="307" t="s">
        <v>1149</v>
      </c>
      <c r="D32" s="2348"/>
      <c r="E32" s="2150"/>
      <c r="F32" s="2282"/>
      <c r="G32" s="338"/>
      <c r="H32" s="1428"/>
      <c r="I32" s="589"/>
      <c r="J32" s="509"/>
      <c r="K32" s="1428"/>
      <c r="L32" s="152"/>
      <c r="M32" s="2111"/>
      <c r="N32" s="272"/>
      <c r="O32" s="1552"/>
      <c r="P32" s="1552"/>
      <c r="AH32" s="1559">
        <v>0</v>
      </c>
    </row>
    <row r="33" spans="1:34" s="1563" customFormat="1" ht="45" hidden="1" customHeight="1">
      <c r="A33" s="1707" t="s">
        <v>173</v>
      </c>
      <c r="B33" s="1707" t="s">
        <v>174</v>
      </c>
      <c r="C33" s="307"/>
      <c r="D33" s="2348"/>
      <c r="E33" s="2150"/>
      <c r="F33" s="228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3" t="str">
        <f>INDEX(PT_DIFFERENTIATION_NTAR,MATCH(B33,PT_DIFFERENTIATION_NTAR_ID,0))</f>
        <v/>
      </c>
      <c r="H33" s="1788"/>
      <c r="I33" s="1666"/>
      <c r="J33" s="1700"/>
      <c r="K33" s="1791"/>
      <c r="L33" s="1788" t="s">
        <v>304</v>
      </c>
      <c r="M33" s="2111"/>
      <c r="N33" s="272"/>
      <c r="O33" s="1552"/>
      <c r="P33" s="1552"/>
      <c r="AH33" s="1559">
        <v>0</v>
      </c>
    </row>
    <row r="34" spans="1:34" s="1563" customFormat="1" ht="18.75" hidden="1" customHeight="1">
      <c r="A34" s="1707"/>
      <c r="B34" s="1707"/>
      <c r="C34" s="307" t="s">
        <v>1143</v>
      </c>
      <c r="D34" s="2348"/>
      <c r="E34" s="2150"/>
      <c r="F34" s="2282"/>
      <c r="G34" s="2323"/>
      <c r="H34" s="1428"/>
      <c r="I34" s="589" t="s">
        <v>1144</v>
      </c>
      <c r="J34" s="509"/>
      <c r="K34" s="1428"/>
      <c r="L34" s="152"/>
      <c r="M34" s="2111"/>
      <c r="N34" s="272"/>
      <c r="O34" s="1552"/>
      <c r="P34" s="1552"/>
      <c r="AH34" s="1559">
        <v>0</v>
      </c>
    </row>
    <row r="35" spans="1:34" s="1563" customFormat="1" ht="0.75" hidden="1" customHeight="1">
      <c r="A35" s="1707"/>
      <c r="B35" s="1707"/>
      <c r="C35" s="307" t="s">
        <v>1149</v>
      </c>
      <c r="D35" s="2348"/>
      <c r="E35" s="2150"/>
      <c r="F35" s="2282"/>
      <c r="G35" s="338"/>
      <c r="H35" s="1428"/>
      <c r="I35" s="589"/>
      <c r="J35" s="509"/>
      <c r="K35" s="1428"/>
      <c r="L35" s="152"/>
      <c r="M35" s="2111"/>
      <c r="N35" s="272"/>
      <c r="O35" s="1552"/>
      <c r="P35" s="1552"/>
      <c r="AH35" s="1559">
        <v>0</v>
      </c>
    </row>
    <row r="36" spans="1:34" s="1563" customFormat="1" ht="18.75" hidden="1" customHeight="1">
      <c r="A36" s="1707" t="s">
        <v>179</v>
      </c>
      <c r="B36" s="1707" t="s">
        <v>180</v>
      </c>
      <c r="C36" s="307"/>
      <c r="D36" s="2348"/>
      <c r="E36" s="2150"/>
      <c r="F36" s="2282" t="str">
        <f>INDEX(PT_DIFFERENTIATION_VTAR,MATCH(A36,PT_DIFFERENTIATION_VTAR_ID,0))</f>
        <v>Тарифы на услуги по передаче тепловой энергии</v>
      </c>
      <c r="G36" s="2323" t="str">
        <f>INDEX(PT_DIFFERENTIATION_NTAR,MATCH(B36,PT_DIFFERENTIATION_NTAR_ID,0))</f>
        <v/>
      </c>
      <c r="H36" s="1788"/>
      <c r="I36" s="1666"/>
      <c r="J36" s="1700"/>
      <c r="K36" s="1791"/>
      <c r="L36" s="1788" t="s">
        <v>304</v>
      </c>
      <c r="M36" s="2111"/>
      <c r="N36" s="272"/>
      <c r="O36" s="1552"/>
      <c r="P36" s="1552"/>
      <c r="AH36" s="1559">
        <v>0</v>
      </c>
    </row>
    <row r="37" spans="1:34" s="1563" customFormat="1" ht="18.75" hidden="1" customHeight="1">
      <c r="A37" s="1707"/>
      <c r="B37" s="1707"/>
      <c r="C37" s="307" t="s">
        <v>1143</v>
      </c>
      <c r="D37" s="2348"/>
      <c r="E37" s="2150"/>
      <c r="F37" s="2282"/>
      <c r="G37" s="2323"/>
      <c r="H37" s="1428"/>
      <c r="I37" s="589" t="s">
        <v>1144</v>
      </c>
      <c r="J37" s="509"/>
      <c r="K37" s="1428"/>
      <c r="L37" s="152"/>
      <c r="M37" s="2111"/>
      <c r="N37" s="272"/>
      <c r="O37" s="1552"/>
      <c r="P37" s="1552"/>
      <c r="AH37" s="1559">
        <v>0</v>
      </c>
    </row>
    <row r="38" spans="1:34" s="1563" customFormat="1" ht="0.75" hidden="1" customHeight="1">
      <c r="A38" s="1707"/>
      <c r="B38" s="1707"/>
      <c r="C38" s="307" t="s">
        <v>1149</v>
      </c>
      <c r="D38" s="2348"/>
      <c r="E38" s="2150"/>
      <c r="F38" s="2282"/>
      <c r="G38" s="338"/>
      <c r="H38" s="1428"/>
      <c r="I38" s="589"/>
      <c r="J38" s="509"/>
      <c r="K38" s="1428"/>
      <c r="L38" s="152"/>
      <c r="M38" s="2111"/>
      <c r="N38" s="272"/>
      <c r="O38" s="1552"/>
      <c r="P38" s="1552"/>
      <c r="AH38" s="1559">
        <v>0</v>
      </c>
    </row>
    <row r="39" spans="1:34" s="1563" customFormat="1" ht="18.75" hidden="1" customHeight="1">
      <c r="A39" s="1707" t="s">
        <v>185</v>
      </c>
      <c r="B39" s="1707" t="s">
        <v>186</v>
      </c>
      <c r="C39" s="307"/>
      <c r="D39" s="2348"/>
      <c r="E39" s="2150"/>
      <c r="F39" s="2282" t="str">
        <f>INDEX(PT_DIFFERENTIATION_VTAR,MATCH(A39,PT_DIFFERENTIATION_VTAR_ID,0))</f>
        <v>Тарифы на услуги по передаче теплоносителя</v>
      </c>
      <c r="G39" s="2323" t="str">
        <f>INDEX(PT_DIFFERENTIATION_NTAR,MATCH(B39,PT_DIFFERENTIATION_NTAR_ID,0))</f>
        <v/>
      </c>
      <c r="H39" s="1788"/>
      <c r="I39" s="1666"/>
      <c r="J39" s="1700"/>
      <c r="K39" s="1791"/>
      <c r="L39" s="1788" t="s">
        <v>304</v>
      </c>
      <c r="M39" s="2111"/>
      <c r="N39" s="272"/>
      <c r="O39" s="1552"/>
      <c r="P39" s="1552"/>
      <c r="AH39" s="1559">
        <v>0</v>
      </c>
    </row>
    <row r="40" spans="1:34" s="1563" customFormat="1" ht="18.75" hidden="1" customHeight="1">
      <c r="A40" s="1707"/>
      <c r="B40" s="1707"/>
      <c r="C40" s="307" t="s">
        <v>1143</v>
      </c>
      <c r="D40" s="2348"/>
      <c r="E40" s="2150"/>
      <c r="F40" s="2282"/>
      <c r="G40" s="2323"/>
      <c r="H40" s="1428"/>
      <c r="I40" s="589" t="s">
        <v>1144</v>
      </c>
      <c r="J40" s="509"/>
      <c r="K40" s="1428"/>
      <c r="L40" s="152"/>
      <c r="M40" s="2111"/>
      <c r="N40" s="272"/>
      <c r="O40" s="1552"/>
      <c r="P40" s="1552"/>
      <c r="AH40" s="1559">
        <v>0</v>
      </c>
    </row>
    <row r="41" spans="1:34" s="1563" customFormat="1" ht="0.75" hidden="1" customHeight="1">
      <c r="A41" s="1707"/>
      <c r="B41" s="1707"/>
      <c r="C41" s="307" t="s">
        <v>1149</v>
      </c>
      <c r="D41" s="2348"/>
      <c r="E41" s="2150"/>
      <c r="F41" s="2282"/>
      <c r="G41" s="338"/>
      <c r="H41" s="1428"/>
      <c r="I41" s="589"/>
      <c r="J41" s="509"/>
      <c r="K41" s="1428"/>
      <c r="L41" s="152"/>
      <c r="M41" s="2111"/>
      <c r="N41" s="272"/>
      <c r="O41" s="1552"/>
      <c r="P41" s="1552"/>
      <c r="AH41" s="1559">
        <v>0</v>
      </c>
    </row>
    <row r="42" spans="1:34" s="1563" customFormat="1" ht="18.75" hidden="1" customHeight="1">
      <c r="A42" s="1707" t="s">
        <v>191</v>
      </c>
      <c r="B42" s="1707" t="s">
        <v>192</v>
      </c>
      <c r="C42" s="307"/>
      <c r="D42" s="2348"/>
      <c r="E42" s="2150"/>
      <c r="F42" s="2282"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3" t="str">
        <f>INDEX(PT_DIFFERENTIATION_NTAR,MATCH(B42,PT_DIFFERENTIATION_NTAR_ID,0))</f>
        <v/>
      </c>
      <c r="H42" s="1788"/>
      <c r="I42" s="1666"/>
      <c r="J42" s="1700"/>
      <c r="K42" s="1791"/>
      <c r="L42" s="1788" t="s">
        <v>304</v>
      </c>
      <c r="M42" s="2111"/>
      <c r="N42" s="272"/>
      <c r="O42" s="1552"/>
      <c r="P42" s="1552"/>
      <c r="AH42" s="1559">
        <v>0</v>
      </c>
    </row>
    <row r="43" spans="1:34" s="1563" customFormat="1" ht="18.75" hidden="1" customHeight="1">
      <c r="A43" s="1707"/>
      <c r="B43" s="1707"/>
      <c r="C43" s="307" t="s">
        <v>1143</v>
      </c>
      <c r="D43" s="2348"/>
      <c r="E43" s="2150"/>
      <c r="F43" s="2282"/>
      <c r="G43" s="2323"/>
      <c r="H43" s="1428"/>
      <c r="I43" s="589" t="s">
        <v>1144</v>
      </c>
      <c r="J43" s="509"/>
      <c r="K43" s="1428"/>
      <c r="L43" s="152"/>
      <c r="M43" s="2111"/>
      <c r="N43" s="272"/>
      <c r="O43" s="1552"/>
      <c r="P43" s="1552"/>
      <c r="AH43" s="1559">
        <v>0</v>
      </c>
    </row>
    <row r="44" spans="1:34" s="1563" customFormat="1" ht="0.75" hidden="1" customHeight="1">
      <c r="A44" s="1707"/>
      <c r="B44" s="1707"/>
      <c r="C44" s="307" t="s">
        <v>1149</v>
      </c>
      <c r="D44" s="2348"/>
      <c r="E44" s="2150"/>
      <c r="F44" s="2282"/>
      <c r="G44" s="338"/>
      <c r="H44" s="1428"/>
      <c r="I44" s="589"/>
      <c r="J44" s="509"/>
      <c r="K44" s="1428"/>
      <c r="L44" s="152"/>
      <c r="M44" s="2111"/>
      <c r="N44" s="272"/>
      <c r="O44" s="1552"/>
      <c r="P44" s="1552"/>
      <c r="AH44" s="1559">
        <v>0</v>
      </c>
    </row>
    <row r="45" spans="1:34" s="1563" customFormat="1" ht="18.75" hidden="1" customHeight="1">
      <c r="A45" s="1707" t="s">
        <v>197</v>
      </c>
      <c r="B45" s="1707" t="s">
        <v>198</v>
      </c>
      <c r="C45" s="307"/>
      <c r="D45" s="2348"/>
      <c r="E45" s="2150"/>
      <c r="F45" s="2282" t="str">
        <f>INDEX(PT_DIFFERENTIATION_VTAR,MATCH(A45,PT_DIFFERENTIATION_VTAR_ID,0))</f>
        <v>Плата за подключение (технологическое присоединение) к системе теплоснабжения</v>
      </c>
      <c r="G45" s="2323" t="str">
        <f>INDEX(PT_DIFFERENTIATION_NTAR,MATCH(B45,PT_DIFFERENTIATION_NTAR_ID,0))</f>
        <v/>
      </c>
      <c r="H45" s="1788"/>
      <c r="I45" s="1666"/>
      <c r="J45" s="1700"/>
      <c r="K45" s="1791"/>
      <c r="L45" s="1788" t="s">
        <v>304</v>
      </c>
      <c r="M45" s="2111"/>
      <c r="N45" s="272"/>
      <c r="O45" s="1552"/>
      <c r="P45" s="1552"/>
      <c r="AH45" s="1559">
        <v>0</v>
      </c>
    </row>
    <row r="46" spans="1:34" s="1563" customFormat="1" ht="18.75" hidden="1" customHeight="1">
      <c r="A46" s="1707"/>
      <c r="B46" s="1707"/>
      <c r="C46" s="307" t="s">
        <v>1143</v>
      </c>
      <c r="D46" s="2348"/>
      <c r="E46" s="2150"/>
      <c r="F46" s="2282"/>
      <c r="G46" s="2323"/>
      <c r="H46" s="1428"/>
      <c r="I46" s="589" t="s">
        <v>1144</v>
      </c>
      <c r="J46" s="509"/>
      <c r="K46" s="1428"/>
      <c r="L46" s="152"/>
      <c r="M46" s="2111"/>
      <c r="N46" s="272"/>
      <c r="O46" s="1552"/>
      <c r="P46" s="1552"/>
      <c r="AH46" s="1559">
        <v>0</v>
      </c>
    </row>
    <row r="47" spans="1:34" s="1563" customFormat="1" ht="0.75" hidden="1" customHeight="1">
      <c r="A47" s="1707"/>
      <c r="B47" s="1707"/>
      <c r="C47" s="307" t="s">
        <v>1149</v>
      </c>
      <c r="D47" s="2348"/>
      <c r="E47" s="2150"/>
      <c r="F47" s="2282"/>
      <c r="G47" s="338"/>
      <c r="H47" s="1428"/>
      <c r="I47" s="589"/>
      <c r="J47" s="509"/>
      <c r="K47" s="1428"/>
      <c r="L47" s="152"/>
      <c r="M47" s="2111"/>
      <c r="N47" s="272"/>
      <c r="O47" s="1552"/>
      <c r="P47" s="1552"/>
      <c r="AH47" s="1559">
        <v>0</v>
      </c>
    </row>
    <row r="48" spans="1:34" s="1563" customFormat="1" ht="18.75" hidden="1" customHeight="1">
      <c r="A48" s="1707" t="s">
        <v>203</v>
      </c>
      <c r="B48" s="1707" t="s">
        <v>204</v>
      </c>
      <c r="C48" s="307"/>
      <c r="D48" s="2348"/>
      <c r="E48" s="2150"/>
      <c r="F48" s="2282" t="str">
        <f>INDEX(PT_DIFFERENTIATION_VTAR,MATCH(A48,PT_DIFFERENTIATION_VTAR_ID,0))</f>
        <v>Плата за подключение (технологическое присоединение) к системе теплоснабжения (индивидуальная)</v>
      </c>
      <c r="G48" s="2323" t="str">
        <f>INDEX(PT_DIFFERENTIATION_NTAR,MATCH(B48,PT_DIFFERENTIATION_NTAR_ID,0))</f>
        <v/>
      </c>
      <c r="H48" s="1912"/>
      <c r="I48" s="1666"/>
      <c r="J48" s="1700"/>
      <c r="K48" s="1791"/>
      <c r="L48" s="1912" t="s">
        <v>304</v>
      </c>
      <c r="M48" s="2111"/>
      <c r="N48" s="272"/>
      <c r="O48" s="1552"/>
      <c r="P48" s="1552"/>
      <c r="AH48" s="1559">
        <v>0</v>
      </c>
    </row>
    <row r="49" spans="1:34" s="1563" customFormat="1" ht="18.75" hidden="1" customHeight="1">
      <c r="A49" s="1707"/>
      <c r="B49" s="1707"/>
      <c r="C49" s="307" t="s">
        <v>1143</v>
      </c>
      <c r="D49" s="2348"/>
      <c r="E49" s="2150"/>
      <c r="F49" s="2282"/>
      <c r="G49" s="2323"/>
      <c r="H49" s="1428"/>
      <c r="I49" s="589" t="s">
        <v>1144</v>
      </c>
      <c r="J49" s="509"/>
      <c r="K49" s="1428"/>
      <c r="L49" s="152"/>
      <c r="M49" s="2111"/>
      <c r="N49" s="272"/>
      <c r="O49" s="1552"/>
      <c r="P49" s="1552"/>
      <c r="AH49" s="1559">
        <v>0</v>
      </c>
    </row>
    <row r="50" spans="1:34" s="1563" customFormat="1" ht="0.75" hidden="1" customHeight="1">
      <c r="A50" s="1707"/>
      <c r="B50" s="1707"/>
      <c r="C50" s="307" t="s">
        <v>1149</v>
      </c>
      <c r="D50" s="2348"/>
      <c r="E50" s="2150"/>
      <c r="F50" s="2282"/>
      <c r="G50" s="338"/>
      <c r="H50" s="1428"/>
      <c r="I50" s="589"/>
      <c r="J50" s="509"/>
      <c r="K50" s="1428"/>
      <c r="L50" s="152"/>
      <c r="M50" s="2111"/>
      <c r="N50" s="272"/>
      <c r="O50" s="1552"/>
      <c r="P50" s="1552"/>
      <c r="AH50" s="1559">
        <v>0</v>
      </c>
    </row>
    <row r="51" spans="1:34" s="1563" customFormat="1" ht="18.75" hidden="1" customHeight="1">
      <c r="A51" s="1707" t="s">
        <v>223</v>
      </c>
      <c r="B51" s="1707" t="s">
        <v>224</v>
      </c>
      <c r="C51" s="307"/>
      <c r="D51" s="2348"/>
      <c r="E51" s="2150"/>
      <c r="F51" s="2282" t="str">
        <f>INDEX(PT_DIFFERENTIATION_VTAR,MATCH(A51,PT_DIFFERENTIATION_VTAR_ID,0))</f>
        <v>Тариф на питьевую воду (питьевое водоснабжение)</v>
      </c>
      <c r="G51" s="2323" t="str">
        <f>INDEX(PT_DIFFERENTIATION_NTAR,MATCH(B51,PT_DIFFERENTIATION_NTAR_ID,0))</f>
        <v/>
      </c>
      <c r="H51" s="1788"/>
      <c r="I51" s="1666"/>
      <c r="J51" s="1700"/>
      <c r="K51" s="1791"/>
      <c r="L51" s="1788" t="s">
        <v>304</v>
      </c>
      <c r="M51" s="2111"/>
      <c r="N51" s="272"/>
      <c r="O51" s="1552"/>
      <c r="P51" s="1552"/>
      <c r="AH51" s="1559">
        <v>0</v>
      </c>
    </row>
    <row r="52" spans="1:34" s="1563" customFormat="1" ht="18.75" hidden="1" customHeight="1">
      <c r="A52" s="1707"/>
      <c r="B52" s="1707"/>
      <c r="C52" s="307" t="s">
        <v>1143</v>
      </c>
      <c r="D52" s="2348"/>
      <c r="E52" s="2150"/>
      <c r="F52" s="2282"/>
      <c r="G52" s="2323"/>
      <c r="H52" s="1428"/>
      <c r="I52" s="589" t="s">
        <v>1144</v>
      </c>
      <c r="J52" s="509"/>
      <c r="K52" s="1428"/>
      <c r="L52" s="152"/>
      <c r="M52" s="2111"/>
      <c r="N52" s="272"/>
      <c r="O52" s="1552"/>
      <c r="P52" s="1552"/>
      <c r="AH52" s="1559">
        <v>0</v>
      </c>
    </row>
    <row r="53" spans="1:34" s="1563" customFormat="1" ht="0.75" hidden="1" customHeight="1">
      <c r="A53" s="1707"/>
      <c r="B53" s="1707"/>
      <c r="C53" s="307" t="s">
        <v>1149</v>
      </c>
      <c r="D53" s="2348"/>
      <c r="E53" s="2150"/>
      <c r="F53" s="2282"/>
      <c r="G53" s="338"/>
      <c r="H53" s="1428"/>
      <c r="I53" s="589"/>
      <c r="J53" s="509"/>
      <c r="K53" s="1428"/>
      <c r="L53" s="152"/>
      <c r="M53" s="2111"/>
      <c r="N53" s="272"/>
      <c r="O53" s="1552"/>
      <c r="P53" s="1552"/>
      <c r="AH53" s="1559">
        <v>0</v>
      </c>
    </row>
    <row r="54" spans="1:34" s="1563" customFormat="1" ht="18.75" hidden="1" customHeight="1">
      <c r="A54" s="1707" t="s">
        <v>228</v>
      </c>
      <c r="B54" s="1707" t="s">
        <v>229</v>
      </c>
      <c r="C54" s="307"/>
      <c r="D54" s="2348"/>
      <c r="E54" s="2150"/>
      <c r="F54" s="2282" t="str">
        <f>INDEX(PT_DIFFERENTIATION_VTAR,MATCH(A54,PT_DIFFERENTIATION_VTAR_ID,0))</f>
        <v>Тариф на техническую воду</v>
      </c>
      <c r="G54" s="2323" t="str">
        <f>INDEX(PT_DIFFERENTIATION_NTAR,MATCH(B54,PT_DIFFERENTIATION_NTAR_ID,0))</f>
        <v/>
      </c>
      <c r="H54" s="1788"/>
      <c r="I54" s="1666"/>
      <c r="J54" s="1700"/>
      <c r="K54" s="1791"/>
      <c r="L54" s="1788" t="s">
        <v>304</v>
      </c>
      <c r="M54" s="2111"/>
      <c r="N54" s="272"/>
      <c r="O54" s="1552"/>
      <c r="P54" s="1552"/>
      <c r="AH54" s="1559">
        <v>0</v>
      </c>
    </row>
    <row r="55" spans="1:34" s="1563" customFormat="1" ht="18.75" hidden="1" customHeight="1">
      <c r="A55" s="1707"/>
      <c r="B55" s="1707"/>
      <c r="C55" s="307" t="s">
        <v>1143</v>
      </c>
      <c r="D55" s="2348"/>
      <c r="E55" s="2150"/>
      <c r="F55" s="2282"/>
      <c r="G55" s="2323"/>
      <c r="H55" s="1428"/>
      <c r="I55" s="589" t="s">
        <v>1144</v>
      </c>
      <c r="J55" s="509"/>
      <c r="K55" s="1428"/>
      <c r="L55" s="152"/>
      <c r="M55" s="2111"/>
      <c r="N55" s="272"/>
      <c r="O55" s="1552"/>
      <c r="P55" s="1552"/>
      <c r="AH55" s="1559">
        <v>0</v>
      </c>
    </row>
    <row r="56" spans="1:34" s="1563" customFormat="1" ht="0.75" hidden="1" customHeight="1">
      <c r="A56" s="1707"/>
      <c r="B56" s="1707"/>
      <c r="C56" s="307" t="s">
        <v>1149</v>
      </c>
      <c r="D56" s="2348"/>
      <c r="E56" s="2150"/>
      <c r="F56" s="2282"/>
      <c r="G56" s="338"/>
      <c r="H56" s="1428"/>
      <c r="I56" s="589"/>
      <c r="J56" s="509"/>
      <c r="K56" s="1428"/>
      <c r="L56" s="152"/>
      <c r="M56" s="2111"/>
      <c r="N56" s="272"/>
      <c r="O56" s="1552"/>
      <c r="P56" s="1552"/>
      <c r="AH56" s="1559">
        <v>0</v>
      </c>
    </row>
    <row r="57" spans="1:34" s="1563" customFormat="1" ht="18.75" hidden="1" customHeight="1">
      <c r="A57" s="1707" t="s">
        <v>233</v>
      </c>
      <c r="B57" s="1707" t="s">
        <v>234</v>
      </c>
      <c r="C57" s="307"/>
      <c r="D57" s="2348"/>
      <c r="E57" s="2150"/>
      <c r="F57" s="2282" t="str">
        <f>INDEX(PT_DIFFERENTIATION_VTAR,MATCH(A57,PT_DIFFERENTIATION_VTAR_ID,0))</f>
        <v>Тариф на транспортировку воды</v>
      </c>
      <c r="G57" s="2323" t="str">
        <f>INDEX(PT_DIFFERENTIATION_NTAR,MATCH(B57,PT_DIFFERENTIATION_NTAR_ID,0))</f>
        <v/>
      </c>
      <c r="H57" s="1788"/>
      <c r="I57" s="1666"/>
      <c r="J57" s="1700"/>
      <c r="K57" s="1791"/>
      <c r="L57" s="1788" t="s">
        <v>304</v>
      </c>
      <c r="M57" s="2111"/>
      <c r="N57" s="272"/>
      <c r="O57" s="1552"/>
      <c r="P57" s="1552"/>
      <c r="AH57" s="1559">
        <v>0</v>
      </c>
    </row>
    <row r="58" spans="1:34" s="1563" customFormat="1" ht="18.75" hidden="1" customHeight="1">
      <c r="A58" s="1707"/>
      <c r="B58" s="1707"/>
      <c r="C58" s="307" t="s">
        <v>1143</v>
      </c>
      <c r="D58" s="2348"/>
      <c r="E58" s="2150"/>
      <c r="F58" s="2282"/>
      <c r="G58" s="2323"/>
      <c r="H58" s="1428"/>
      <c r="I58" s="589" t="s">
        <v>1144</v>
      </c>
      <c r="J58" s="509"/>
      <c r="K58" s="1428"/>
      <c r="L58" s="152"/>
      <c r="M58" s="2111"/>
      <c r="N58" s="272"/>
      <c r="O58" s="1552"/>
      <c r="P58" s="1552"/>
      <c r="AH58" s="1559">
        <v>0</v>
      </c>
    </row>
    <row r="59" spans="1:34" s="1563" customFormat="1" ht="0.75" hidden="1" customHeight="1">
      <c r="A59" s="1707"/>
      <c r="B59" s="1707"/>
      <c r="C59" s="307" t="s">
        <v>1149</v>
      </c>
      <c r="D59" s="2348"/>
      <c r="E59" s="2150"/>
      <c r="F59" s="2282"/>
      <c r="G59" s="338"/>
      <c r="H59" s="1428"/>
      <c r="I59" s="589"/>
      <c r="J59" s="509"/>
      <c r="K59" s="1428"/>
      <c r="L59" s="152"/>
      <c r="M59" s="2111"/>
      <c r="N59" s="272"/>
      <c r="O59" s="1552"/>
      <c r="P59" s="1552"/>
      <c r="AH59" s="1559">
        <v>0</v>
      </c>
    </row>
    <row r="60" spans="1:34" s="1563" customFormat="1" ht="18.75" hidden="1" customHeight="1">
      <c r="A60" s="1707" t="s">
        <v>238</v>
      </c>
      <c r="B60" s="1707" t="s">
        <v>239</v>
      </c>
      <c r="C60" s="307"/>
      <c r="D60" s="2348"/>
      <c r="E60" s="2150"/>
      <c r="F60" s="2282" t="str">
        <f>INDEX(PT_DIFFERENTIATION_VTAR,MATCH(A60,PT_DIFFERENTIATION_VTAR_ID,0))</f>
        <v>Тариф на подвоз воды</v>
      </c>
      <c r="G60" s="2323" t="str">
        <f>INDEX(PT_DIFFERENTIATION_NTAR,MATCH(B60,PT_DIFFERENTIATION_NTAR_ID,0))</f>
        <v/>
      </c>
      <c r="H60" s="1788"/>
      <c r="I60" s="1666"/>
      <c r="J60" s="1700"/>
      <c r="K60" s="1791"/>
      <c r="L60" s="1788" t="s">
        <v>304</v>
      </c>
      <c r="M60" s="2111"/>
      <c r="N60" s="272"/>
      <c r="O60" s="1552"/>
      <c r="P60" s="1552"/>
      <c r="AH60" s="1559">
        <v>0</v>
      </c>
    </row>
    <row r="61" spans="1:34" s="1563" customFormat="1" ht="18.75" hidden="1" customHeight="1">
      <c r="A61" s="1707"/>
      <c r="B61" s="1707"/>
      <c r="C61" s="307" t="s">
        <v>1143</v>
      </c>
      <c r="D61" s="2348"/>
      <c r="E61" s="2150"/>
      <c r="F61" s="2282"/>
      <c r="G61" s="2323"/>
      <c r="H61" s="1428"/>
      <c r="I61" s="589" t="s">
        <v>1144</v>
      </c>
      <c r="J61" s="509"/>
      <c r="K61" s="1428"/>
      <c r="L61" s="152"/>
      <c r="M61" s="2111"/>
      <c r="N61" s="272"/>
      <c r="O61" s="1552"/>
      <c r="P61" s="1552"/>
      <c r="AH61" s="1559">
        <v>0</v>
      </c>
    </row>
    <row r="62" spans="1:34" s="1563" customFormat="1" ht="0.75" hidden="1" customHeight="1">
      <c r="A62" s="1707"/>
      <c r="B62" s="1707"/>
      <c r="C62" s="307" t="s">
        <v>1149</v>
      </c>
      <c r="D62" s="2348"/>
      <c r="E62" s="2150"/>
      <c r="F62" s="2282"/>
      <c r="G62" s="338"/>
      <c r="H62" s="1428"/>
      <c r="I62" s="589"/>
      <c r="J62" s="509"/>
      <c r="K62" s="1428"/>
      <c r="L62" s="152"/>
      <c r="M62" s="2111"/>
      <c r="N62" s="272"/>
      <c r="O62" s="1552"/>
      <c r="P62" s="1552"/>
      <c r="AH62" s="1559">
        <v>0</v>
      </c>
    </row>
    <row r="63" spans="1:34" s="1563" customFormat="1" ht="18.75" hidden="1" customHeight="1">
      <c r="A63" s="1707" t="s">
        <v>243</v>
      </c>
      <c r="B63" s="1707" t="s">
        <v>244</v>
      </c>
      <c r="C63" s="307"/>
      <c r="D63" s="2348"/>
      <c r="E63" s="2150"/>
      <c r="F63" s="2282"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3" t="str">
        <f>INDEX(PT_DIFFERENTIATION_NTAR,MATCH(B63,PT_DIFFERENTIATION_NTAR_ID,0))</f>
        <v/>
      </c>
      <c r="H63" s="1788"/>
      <c r="I63" s="1666"/>
      <c r="J63" s="1700"/>
      <c r="K63" s="1791"/>
      <c r="L63" s="1788" t="s">
        <v>304</v>
      </c>
      <c r="M63" s="2111"/>
      <c r="N63" s="272"/>
      <c r="O63" s="1552"/>
      <c r="P63" s="1552"/>
      <c r="AH63" s="1559">
        <v>0</v>
      </c>
    </row>
    <row r="64" spans="1:34" s="1563" customFormat="1" ht="18.75" hidden="1" customHeight="1">
      <c r="A64" s="1707"/>
      <c r="B64" s="1707"/>
      <c r="C64" s="307" t="s">
        <v>1143</v>
      </c>
      <c r="D64" s="2348"/>
      <c r="E64" s="2150"/>
      <c r="F64" s="2282"/>
      <c r="G64" s="2323"/>
      <c r="H64" s="1428"/>
      <c r="I64" s="589" t="s">
        <v>1144</v>
      </c>
      <c r="J64" s="509"/>
      <c r="K64" s="1428"/>
      <c r="L64" s="152"/>
      <c r="M64" s="2111"/>
      <c r="N64" s="272"/>
      <c r="O64" s="1552"/>
      <c r="P64" s="1552"/>
      <c r="AH64" s="1559">
        <v>0</v>
      </c>
    </row>
    <row r="65" spans="1:34" s="1563" customFormat="1" ht="0.75" hidden="1" customHeight="1">
      <c r="A65" s="1707"/>
      <c r="B65" s="1707"/>
      <c r="C65" s="307" t="s">
        <v>1149</v>
      </c>
      <c r="D65" s="2348"/>
      <c r="E65" s="2150"/>
      <c r="F65" s="2282"/>
      <c r="G65" s="338"/>
      <c r="H65" s="1428"/>
      <c r="I65" s="589"/>
      <c r="J65" s="509"/>
      <c r="K65" s="1428"/>
      <c r="L65" s="152"/>
      <c r="M65" s="2111"/>
      <c r="N65" s="272"/>
      <c r="O65" s="1552"/>
      <c r="P65" s="1552"/>
      <c r="AH65" s="1559">
        <v>0</v>
      </c>
    </row>
    <row r="66" spans="1:34" s="1563" customFormat="1" ht="18.75" hidden="1" customHeight="1">
      <c r="A66" s="1707" t="s">
        <v>248</v>
      </c>
      <c r="B66" s="1707" t="s">
        <v>249</v>
      </c>
      <c r="C66" s="307"/>
      <c r="D66" s="2348"/>
      <c r="E66" s="2150"/>
      <c r="F66" s="2282" t="str">
        <f>INDEX(PT_DIFFERENTIATION_VTAR,MATCH(A66,PT_DIFFERENTIATION_VTAR_ID,0))</f>
        <v>Тариф на горячую воду (горячее водоснабжение)</v>
      </c>
      <c r="G66" s="2323" t="str">
        <f>INDEX(PT_DIFFERENTIATION_NTAR,MATCH(B66,PT_DIFFERENTIATION_NTAR_ID,0))</f>
        <v/>
      </c>
      <c r="H66" s="1788"/>
      <c r="I66" s="1666"/>
      <c r="J66" s="1700"/>
      <c r="K66" s="1791"/>
      <c r="L66" s="1788" t="s">
        <v>304</v>
      </c>
      <c r="M66" s="2111"/>
      <c r="N66" s="272"/>
      <c r="O66" s="1552"/>
      <c r="P66" s="1552"/>
      <c r="AH66" s="1559">
        <v>0</v>
      </c>
    </row>
    <row r="67" spans="1:34" s="1563" customFormat="1" ht="18.75" hidden="1" customHeight="1">
      <c r="A67" s="1707"/>
      <c r="B67" s="1707"/>
      <c r="C67" s="307" t="s">
        <v>1143</v>
      </c>
      <c r="D67" s="2348"/>
      <c r="E67" s="2150"/>
      <c r="F67" s="2282"/>
      <c r="G67" s="2323"/>
      <c r="H67" s="1428"/>
      <c r="I67" s="589" t="s">
        <v>1144</v>
      </c>
      <c r="J67" s="509"/>
      <c r="K67" s="1428"/>
      <c r="L67" s="152"/>
      <c r="M67" s="2111"/>
      <c r="N67" s="272"/>
      <c r="O67" s="1552"/>
      <c r="P67" s="1552"/>
      <c r="AH67" s="1559">
        <v>0</v>
      </c>
    </row>
    <row r="68" spans="1:34" s="1563" customFormat="1" ht="0.75" hidden="1" customHeight="1">
      <c r="A68" s="1707"/>
      <c r="B68" s="1707"/>
      <c r="C68" s="307" t="s">
        <v>1149</v>
      </c>
      <c r="D68" s="2348"/>
      <c r="E68" s="2150"/>
      <c r="F68" s="2282"/>
      <c r="G68" s="338"/>
      <c r="H68" s="1428"/>
      <c r="I68" s="589"/>
      <c r="J68" s="509"/>
      <c r="K68" s="1428"/>
      <c r="L68" s="152"/>
      <c r="M68" s="2111"/>
      <c r="N68" s="272"/>
      <c r="O68" s="1552"/>
      <c r="P68" s="1552"/>
      <c r="AH68" s="1559">
        <v>0</v>
      </c>
    </row>
    <row r="69" spans="1:34" s="1563" customFormat="1" ht="18.75" hidden="1" customHeight="1">
      <c r="A69" s="1707" t="s">
        <v>253</v>
      </c>
      <c r="B69" s="1707" t="s">
        <v>254</v>
      </c>
      <c r="C69" s="307"/>
      <c r="D69" s="2348"/>
      <c r="E69" s="2150"/>
      <c r="F69" s="2282" t="str">
        <f>INDEX(PT_DIFFERENTIATION_VTAR,MATCH(A69,PT_DIFFERENTIATION_VTAR_ID,0))</f>
        <v>Тариф на транспортировку горячей воды</v>
      </c>
      <c r="G69" s="2323" t="str">
        <f>INDEX(PT_DIFFERENTIATION_NTAR,MATCH(B69,PT_DIFFERENTIATION_NTAR_ID,0))</f>
        <v/>
      </c>
      <c r="H69" s="1788"/>
      <c r="I69" s="1666"/>
      <c r="J69" s="1700"/>
      <c r="K69" s="1791"/>
      <c r="L69" s="1788" t="s">
        <v>304</v>
      </c>
      <c r="M69" s="2111"/>
      <c r="N69" s="272"/>
      <c r="O69" s="1552"/>
      <c r="P69" s="1552"/>
      <c r="AH69" s="1559">
        <v>0</v>
      </c>
    </row>
    <row r="70" spans="1:34" s="1563" customFormat="1" ht="18.75" hidden="1" customHeight="1">
      <c r="A70" s="1707"/>
      <c r="B70" s="1707"/>
      <c r="C70" s="307" t="s">
        <v>1143</v>
      </c>
      <c r="D70" s="2348"/>
      <c r="E70" s="2150"/>
      <c r="F70" s="2282"/>
      <c r="G70" s="2323"/>
      <c r="H70" s="1428"/>
      <c r="I70" s="589" t="s">
        <v>1144</v>
      </c>
      <c r="J70" s="509"/>
      <c r="K70" s="1428"/>
      <c r="L70" s="152"/>
      <c r="M70" s="2111"/>
      <c r="N70" s="272"/>
      <c r="O70" s="1552"/>
      <c r="P70" s="1552"/>
      <c r="AH70" s="1559">
        <v>0</v>
      </c>
    </row>
    <row r="71" spans="1:34" s="1563" customFormat="1" ht="0.75" hidden="1" customHeight="1">
      <c r="A71" s="1707"/>
      <c r="B71" s="1707"/>
      <c r="C71" s="307" t="s">
        <v>1149</v>
      </c>
      <c r="D71" s="2348"/>
      <c r="E71" s="2150"/>
      <c r="F71" s="2282"/>
      <c r="G71" s="338"/>
      <c r="H71" s="1428"/>
      <c r="I71" s="589"/>
      <c r="J71" s="509"/>
      <c r="K71" s="1428"/>
      <c r="L71" s="152"/>
      <c r="M71" s="2111"/>
      <c r="N71" s="272"/>
      <c r="O71" s="1552"/>
      <c r="P71" s="1552"/>
      <c r="AH71" s="1559">
        <v>0</v>
      </c>
    </row>
    <row r="72" spans="1:34" s="1563" customFormat="1" ht="18.75" hidden="1" customHeight="1">
      <c r="A72" s="1707" t="s">
        <v>258</v>
      </c>
      <c r="B72" s="1707" t="s">
        <v>259</v>
      </c>
      <c r="C72" s="307"/>
      <c r="D72" s="2348"/>
      <c r="E72" s="2150"/>
      <c r="F72" s="2282" t="str">
        <f>INDEX(PT_DIFFERENTIATION_VTAR,MATCH(A72,PT_DIFFERENTIATION_VTAR_ID,0))</f>
        <v>Тариф на подключение (технологическое присоединение) к централизованной системе горячего водоснабжения</v>
      </c>
      <c r="G72" s="2323" t="str">
        <f>INDEX(PT_DIFFERENTIATION_NTAR,MATCH(B72,PT_DIFFERENTIATION_NTAR_ID,0))</f>
        <v/>
      </c>
      <c r="H72" s="1788"/>
      <c r="I72" s="1666"/>
      <c r="J72" s="1700"/>
      <c r="K72" s="1791"/>
      <c r="L72" s="1788" t="s">
        <v>304</v>
      </c>
      <c r="M72" s="2111"/>
      <c r="N72" s="272"/>
      <c r="O72" s="1552"/>
      <c r="P72" s="1552"/>
      <c r="AH72" s="1559">
        <v>0</v>
      </c>
    </row>
    <row r="73" spans="1:34" s="1563" customFormat="1" ht="18.75" hidden="1" customHeight="1">
      <c r="A73" s="1707"/>
      <c r="B73" s="1707"/>
      <c r="C73" s="307" t="s">
        <v>1143</v>
      </c>
      <c r="D73" s="2348"/>
      <c r="E73" s="2150"/>
      <c r="F73" s="2282"/>
      <c r="G73" s="2323"/>
      <c r="H73" s="1428"/>
      <c r="I73" s="589" t="s">
        <v>1144</v>
      </c>
      <c r="J73" s="509"/>
      <c r="K73" s="1428"/>
      <c r="L73" s="152"/>
      <c r="M73" s="2111"/>
      <c r="N73" s="272"/>
      <c r="O73" s="1552"/>
      <c r="P73" s="1552"/>
      <c r="AH73" s="1559">
        <v>0</v>
      </c>
    </row>
    <row r="74" spans="1:34" s="1563" customFormat="1" ht="0.75" hidden="1" customHeight="1">
      <c r="A74" s="1707"/>
      <c r="B74" s="1707"/>
      <c r="C74" s="307" t="s">
        <v>1149</v>
      </c>
      <c r="D74" s="2348"/>
      <c r="E74" s="2150"/>
      <c r="F74" s="2282"/>
      <c r="G74" s="338"/>
      <c r="H74" s="1428"/>
      <c r="I74" s="589"/>
      <c r="J74" s="509"/>
      <c r="K74" s="1428"/>
      <c r="L74" s="152"/>
      <c r="M74" s="2111"/>
      <c r="N74" s="272"/>
      <c r="O74" s="1552"/>
      <c r="P74" s="1552"/>
      <c r="AH74" s="1559">
        <v>0</v>
      </c>
    </row>
    <row r="75" spans="1:34" s="1563" customFormat="1" ht="18.75" hidden="1" customHeight="1">
      <c r="A75" s="1707" t="s">
        <v>263</v>
      </c>
      <c r="B75" s="1707" t="s">
        <v>264</v>
      </c>
      <c r="C75" s="307"/>
      <c r="D75" s="2348"/>
      <c r="E75" s="2150"/>
      <c r="F75" s="2282" t="str">
        <f>INDEX(PT_DIFFERENTIATION_VTAR,MATCH(A75,PT_DIFFERENTIATION_VTAR_ID,0))</f>
        <v>Тариф на водоотведение</v>
      </c>
      <c r="G75" s="2323" t="str">
        <f>INDEX(PT_DIFFERENTIATION_NTAR,MATCH(B75,PT_DIFFERENTIATION_NTAR_ID,0))</f>
        <v/>
      </c>
      <c r="H75" s="1788"/>
      <c r="I75" s="1666"/>
      <c r="J75" s="1700"/>
      <c r="K75" s="1791"/>
      <c r="L75" s="1788" t="s">
        <v>304</v>
      </c>
      <c r="M75" s="2111"/>
      <c r="N75" s="272"/>
      <c r="O75" s="1552"/>
      <c r="P75" s="1552"/>
      <c r="AH75" s="1559">
        <v>0</v>
      </c>
    </row>
    <row r="76" spans="1:34" s="1563" customFormat="1" ht="18.75" hidden="1" customHeight="1">
      <c r="A76" s="1707"/>
      <c r="B76" s="1707"/>
      <c r="C76" s="307" t="s">
        <v>1143</v>
      </c>
      <c r="D76" s="2348"/>
      <c r="E76" s="2150"/>
      <c r="F76" s="2282"/>
      <c r="G76" s="2323"/>
      <c r="H76" s="1428"/>
      <c r="I76" s="589" t="s">
        <v>1144</v>
      </c>
      <c r="J76" s="509"/>
      <c r="K76" s="1428"/>
      <c r="L76" s="152"/>
      <c r="M76" s="2111"/>
      <c r="N76" s="272"/>
      <c r="O76" s="1552"/>
      <c r="P76" s="1552"/>
      <c r="AH76" s="1559">
        <v>0</v>
      </c>
    </row>
    <row r="77" spans="1:34" s="1563" customFormat="1" ht="0.75" hidden="1" customHeight="1">
      <c r="A77" s="1707"/>
      <c r="B77" s="1707"/>
      <c r="C77" s="307" t="s">
        <v>1149</v>
      </c>
      <c r="D77" s="2348"/>
      <c r="E77" s="2150"/>
      <c r="F77" s="2282"/>
      <c r="G77" s="338"/>
      <c r="H77" s="1428"/>
      <c r="I77" s="589"/>
      <c r="J77" s="509"/>
      <c r="K77" s="1428"/>
      <c r="L77" s="152"/>
      <c r="M77" s="2111"/>
      <c r="N77" s="272"/>
      <c r="O77" s="1552"/>
      <c r="P77" s="1552"/>
      <c r="AH77" s="1559">
        <v>0</v>
      </c>
    </row>
    <row r="78" spans="1:34" s="1563" customFormat="1" ht="18.75" hidden="1" customHeight="1">
      <c r="A78" s="1707" t="s">
        <v>268</v>
      </c>
      <c r="B78" s="1707" t="s">
        <v>269</v>
      </c>
      <c r="C78" s="307"/>
      <c r="D78" s="2348"/>
      <c r="E78" s="2150"/>
      <c r="F78" s="2282" t="str">
        <f>INDEX(PT_DIFFERENTIATION_VTAR,MATCH(A78,PT_DIFFERENTIATION_VTAR_ID,0))</f>
        <v>Тариф на транспортировку сточных вод</v>
      </c>
      <c r="G78" s="2323" t="str">
        <f>INDEX(PT_DIFFERENTIATION_NTAR,MATCH(B78,PT_DIFFERENTIATION_NTAR_ID,0))</f>
        <v/>
      </c>
      <c r="H78" s="1788"/>
      <c r="I78" s="1666"/>
      <c r="J78" s="1700"/>
      <c r="K78" s="1791"/>
      <c r="L78" s="1788" t="s">
        <v>304</v>
      </c>
      <c r="M78" s="2111"/>
      <c r="N78" s="272"/>
      <c r="O78" s="1552"/>
      <c r="P78" s="1552"/>
      <c r="AH78" s="1559">
        <v>0</v>
      </c>
    </row>
    <row r="79" spans="1:34" s="1563" customFormat="1" ht="18.75" hidden="1" customHeight="1">
      <c r="A79" s="1707"/>
      <c r="B79" s="1707"/>
      <c r="C79" s="307" t="s">
        <v>1143</v>
      </c>
      <c r="D79" s="2348"/>
      <c r="E79" s="2150"/>
      <c r="F79" s="2282"/>
      <c r="G79" s="2323"/>
      <c r="H79" s="1428"/>
      <c r="I79" s="589" t="s">
        <v>1144</v>
      </c>
      <c r="J79" s="509"/>
      <c r="K79" s="1428"/>
      <c r="L79" s="152"/>
      <c r="M79" s="2111"/>
      <c r="N79" s="272"/>
      <c r="O79" s="1552"/>
      <c r="P79" s="1552"/>
      <c r="AH79" s="1559">
        <v>0</v>
      </c>
    </row>
    <row r="80" spans="1:34" s="1563" customFormat="1" ht="0.75" hidden="1" customHeight="1">
      <c r="A80" s="1707"/>
      <c r="B80" s="1707"/>
      <c r="C80" s="307" t="s">
        <v>1149</v>
      </c>
      <c r="D80" s="2348"/>
      <c r="E80" s="2150"/>
      <c r="F80" s="2282"/>
      <c r="G80" s="338"/>
      <c r="H80" s="1428"/>
      <c r="I80" s="589"/>
      <c r="J80" s="509"/>
      <c r="K80" s="1428"/>
      <c r="L80" s="152"/>
      <c r="M80" s="2111"/>
      <c r="N80" s="272"/>
      <c r="O80" s="1552"/>
      <c r="P80" s="1552"/>
      <c r="AH80" s="1559">
        <v>0</v>
      </c>
    </row>
    <row r="81" spans="1:34" s="1563" customFormat="1" ht="18.75" hidden="1" customHeight="1">
      <c r="A81" s="1707" t="s">
        <v>273</v>
      </c>
      <c r="B81" s="1707" t="s">
        <v>274</v>
      </c>
      <c r="C81" s="307"/>
      <c r="D81" s="2348"/>
      <c r="E81" s="2150"/>
      <c r="F81" s="2282" t="str">
        <f>INDEX(PT_DIFFERENTIATION_VTAR,MATCH(A81,PT_DIFFERENTIATION_VTAR_ID,0))</f>
        <v>Тариф на подключение (технологическое присоединение) к централизованной системе водоотведения</v>
      </c>
      <c r="G81" s="2323" t="str">
        <f>INDEX(PT_DIFFERENTIATION_NTAR,MATCH(B81,PT_DIFFERENTIATION_NTAR_ID,0))</f>
        <v/>
      </c>
      <c r="H81" s="1788"/>
      <c r="I81" s="1666"/>
      <c r="J81" s="1700"/>
      <c r="K81" s="1791"/>
      <c r="L81" s="1788" t="s">
        <v>304</v>
      </c>
      <c r="M81" s="2111"/>
      <c r="N81" s="272"/>
      <c r="O81" s="1552"/>
      <c r="P81" s="1552"/>
      <c r="AH81" s="1559">
        <v>0</v>
      </c>
    </row>
    <row r="82" spans="1:34" s="1563" customFormat="1" ht="18.75" hidden="1" customHeight="1">
      <c r="A82" s="1707"/>
      <c r="B82" s="1707"/>
      <c r="C82" s="307" t="s">
        <v>1143</v>
      </c>
      <c r="D82" s="2348"/>
      <c r="E82" s="2150"/>
      <c r="F82" s="2282"/>
      <c r="G82" s="2323"/>
      <c r="H82" s="1428"/>
      <c r="I82" s="589" t="s">
        <v>1144</v>
      </c>
      <c r="J82" s="509"/>
      <c r="K82" s="1428"/>
      <c r="L82" s="152"/>
      <c r="M82" s="2111"/>
      <c r="N82" s="272"/>
      <c r="O82" s="1552"/>
      <c r="P82" s="1552"/>
      <c r="AH82" s="1559">
        <v>0</v>
      </c>
    </row>
    <row r="83" spans="1:34" s="1563" customFormat="1" ht="1.1499999999999999" customHeight="1">
      <c r="A83" s="1707"/>
      <c r="B83" s="1707"/>
      <c r="C83" s="307" t="s">
        <v>1149</v>
      </c>
      <c r="D83" s="2348"/>
      <c r="E83" s="2150"/>
      <c r="F83" s="2282"/>
      <c r="G83" s="338"/>
      <c r="H83" s="1428"/>
      <c r="I83" s="589"/>
      <c r="J83" s="509"/>
      <c r="K83" s="1428"/>
      <c r="L83" s="152"/>
      <c r="M83" s="2111"/>
      <c r="N83" s="272"/>
      <c r="O83" s="1552"/>
      <c r="P83" s="1552"/>
      <c r="AH83" s="1559">
        <v>1</v>
      </c>
    </row>
    <row r="84" spans="1:34" ht="19.899999999999999" customHeight="1">
      <c r="A84" s="1707"/>
      <c r="B84" s="1707"/>
      <c r="D84" s="314"/>
      <c r="E84" s="85" t="s">
        <v>109</v>
      </c>
      <c r="F84" s="234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47"/>
      <c r="H84" s="2347"/>
      <c r="I84" s="2347"/>
      <c r="J84" s="2347"/>
      <c r="K84" s="2347"/>
      <c r="L84" s="2347"/>
      <c r="M84" s="235"/>
      <c r="N84" s="272"/>
      <c r="AH84" s="312">
        <v>19</v>
      </c>
    </row>
    <row r="85" spans="1:34" ht="35.65" customHeight="1">
      <c r="A85" s="1707"/>
      <c r="B85" s="1707"/>
      <c r="D85" s="314"/>
      <c r="E85" s="337"/>
      <c r="F85" s="136" t="s">
        <v>304</v>
      </c>
      <c r="G85" s="136" t="s">
        <v>304</v>
      </c>
      <c r="H85" s="2160" t="s">
        <v>304</v>
      </c>
      <c r="I85" s="2174"/>
      <c r="J85" s="136" t="s">
        <v>304</v>
      </c>
      <c r="K85" s="136" t="s">
        <v>304</v>
      </c>
      <c r="L85" s="339"/>
      <c r="M85" s="283" t="s">
        <v>1150</v>
      </c>
      <c r="N85" s="272"/>
      <c r="AH85" s="312">
        <v>34</v>
      </c>
    </row>
    <row r="86" spans="1:34" ht="19.899999999999999" customHeight="1">
      <c r="A86" s="1707"/>
      <c r="B86" s="1707"/>
      <c r="D86" s="314"/>
      <c r="E86" s="85" t="s">
        <v>89</v>
      </c>
      <c r="F86" s="2347" t="s">
        <v>1151</v>
      </c>
      <c r="G86" s="2347"/>
      <c r="H86" s="2347"/>
      <c r="I86" s="2347"/>
      <c r="J86" s="2347"/>
      <c r="K86" s="2347"/>
      <c r="L86" s="2347"/>
      <c r="M86" s="235"/>
      <c r="N86" s="272"/>
      <c r="AH86" s="312">
        <v>19</v>
      </c>
    </row>
    <row r="87" spans="1:34" s="1563" customFormat="1" ht="60.75" hidden="1" customHeight="1">
      <c r="A87" s="1707" t="s">
        <v>155</v>
      </c>
      <c r="B87" s="1707" t="s">
        <v>156</v>
      </c>
      <c r="C87" s="307"/>
      <c r="D87" s="2348"/>
      <c r="E87" s="2150"/>
      <c r="F87" s="228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3" t="str">
        <f>INDEX(PT_DIFFERENTIATION_NTAR,MATCH(B87,PT_DIFFERENTIATION_NTAR_ID,0))</f>
        <v/>
      </c>
      <c r="H87" s="1788"/>
      <c r="I87" s="1666"/>
      <c r="J87" s="1700"/>
      <c r="K87" s="1705"/>
      <c r="L87" s="1788" t="s">
        <v>304</v>
      </c>
      <c r="M87"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2"/>
      <c r="P87" s="1552"/>
      <c r="AH87" s="1559">
        <v>0</v>
      </c>
    </row>
    <row r="88" spans="1:34" s="1563" customFormat="1" ht="18.75" hidden="1" customHeight="1">
      <c r="A88" s="1707"/>
      <c r="B88" s="1707"/>
      <c r="C88" s="307" t="s">
        <v>1145</v>
      </c>
      <c r="D88" s="2348"/>
      <c r="E88" s="2150"/>
      <c r="F88" s="2282"/>
      <c r="G88" s="2323"/>
      <c r="H88" s="1428"/>
      <c r="I88" s="589" t="s">
        <v>1144</v>
      </c>
      <c r="J88" s="509"/>
      <c r="K88" s="1428"/>
      <c r="L88" s="152"/>
      <c r="M88" s="2111"/>
      <c r="N88" s="272"/>
      <c r="O88" s="1552"/>
      <c r="P88" s="1552"/>
      <c r="AH88" s="1559">
        <v>0</v>
      </c>
    </row>
    <row r="89" spans="1:34" s="1563" customFormat="1" ht="0.75" hidden="1" customHeight="1">
      <c r="A89" s="1707"/>
      <c r="B89" s="1707"/>
      <c r="C89" s="307" t="s">
        <v>1152</v>
      </c>
      <c r="D89" s="2348"/>
      <c r="E89" s="2150"/>
      <c r="F89" s="2282"/>
      <c r="G89" s="338"/>
      <c r="H89" s="1428"/>
      <c r="I89" s="589"/>
      <c r="J89" s="509"/>
      <c r="K89" s="1428"/>
      <c r="L89" s="152"/>
      <c r="M89" s="2111"/>
      <c r="N89" s="272"/>
      <c r="O89" s="1552"/>
      <c r="P89" s="1552"/>
      <c r="AH89" s="1559">
        <v>0</v>
      </c>
    </row>
    <row r="90" spans="1:34" s="1563" customFormat="1" ht="45" hidden="1" customHeight="1">
      <c r="A90" s="1707" t="s">
        <v>160</v>
      </c>
      <c r="B90" s="1707" t="s">
        <v>161</v>
      </c>
      <c r="C90" s="307"/>
      <c r="D90" s="2348"/>
      <c r="E90" s="2150"/>
      <c r="F90" s="2282" t="str">
        <f>INDEX(PT_DIFFERENTIATION_VTAR,MATCH(A90,PT_DIFFERENTIATION_VTAR_ID,0))</f>
        <v/>
      </c>
      <c r="G90" s="2323" t="str">
        <f>INDEX(PT_DIFFERENTIATION_NTAR,MATCH(B90,PT_DIFFERENTIATION_NTAR_ID,0))</f>
        <v/>
      </c>
      <c r="H90" s="1788"/>
      <c r="I90" s="1666"/>
      <c r="J90" s="1700"/>
      <c r="K90" s="1705"/>
      <c r="L90" s="1788" t="s">
        <v>304</v>
      </c>
      <c r="M90" s="2112"/>
      <c r="N90" s="272"/>
      <c r="O90" s="1552"/>
      <c r="P90" s="1552"/>
      <c r="AH90" s="1559">
        <v>0</v>
      </c>
    </row>
    <row r="91" spans="1:34" s="1563" customFormat="1" ht="18.75" hidden="1" customHeight="1">
      <c r="A91" s="1707"/>
      <c r="B91" s="1707"/>
      <c r="C91" s="307" t="s">
        <v>1145</v>
      </c>
      <c r="D91" s="2348"/>
      <c r="E91" s="2150"/>
      <c r="F91" s="2282"/>
      <c r="G91" s="2323"/>
      <c r="H91" s="1428"/>
      <c r="I91" s="589" t="s">
        <v>1144</v>
      </c>
      <c r="J91" s="509"/>
      <c r="K91" s="1428"/>
      <c r="L91" s="152"/>
      <c r="M91" s="1787"/>
      <c r="N91" s="272"/>
      <c r="O91" s="1552"/>
      <c r="P91" s="1552"/>
      <c r="AH91" s="1559">
        <v>0</v>
      </c>
    </row>
    <row r="92" spans="1:34" s="1563" customFormat="1" ht="0.75" hidden="1" customHeight="1">
      <c r="A92" s="1707"/>
      <c r="B92" s="1707"/>
      <c r="C92" s="307" t="s">
        <v>1152</v>
      </c>
      <c r="D92" s="2348"/>
      <c r="E92" s="2150"/>
      <c r="F92" s="2282"/>
      <c r="G92" s="338"/>
      <c r="H92" s="1428"/>
      <c r="I92" s="589"/>
      <c r="J92" s="509"/>
      <c r="K92" s="1428"/>
      <c r="L92" s="152"/>
      <c r="M92" s="279"/>
      <c r="N92" s="272"/>
      <c r="O92" s="1552"/>
      <c r="P92" s="1552"/>
      <c r="AH92" s="1559">
        <v>0</v>
      </c>
    </row>
    <row r="93" spans="1:34" s="1563" customFormat="1" ht="45" hidden="1" customHeight="1">
      <c r="A93" s="1707" t="s">
        <v>167</v>
      </c>
      <c r="B93" s="1707" t="s">
        <v>168</v>
      </c>
      <c r="C93" s="307"/>
      <c r="D93" s="2348"/>
      <c r="E93" s="2150"/>
      <c r="F93" s="228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3" t="str">
        <f>INDEX(PT_DIFFERENTIATION_NTAR,MATCH(B93,PT_DIFFERENTIATION_NTAR_ID,0))</f>
        <v/>
      </c>
      <c r="H93" s="1788"/>
      <c r="I93" s="1666"/>
      <c r="J93" s="1700"/>
      <c r="K93" s="1705"/>
      <c r="L93" s="1788" t="s">
        <v>304</v>
      </c>
      <c r="M93" s="279"/>
      <c r="N93" s="272"/>
      <c r="O93" s="1552"/>
      <c r="P93" s="1552"/>
      <c r="AH93" s="1559">
        <v>0</v>
      </c>
    </row>
    <row r="94" spans="1:34" s="1563" customFormat="1" ht="18.75" hidden="1" customHeight="1">
      <c r="A94" s="1707"/>
      <c r="B94" s="1707"/>
      <c r="C94" s="307" t="s">
        <v>1145</v>
      </c>
      <c r="D94" s="2348"/>
      <c r="E94" s="2150"/>
      <c r="F94" s="2282"/>
      <c r="G94" s="2323"/>
      <c r="H94" s="1428"/>
      <c r="I94" s="589" t="s">
        <v>1144</v>
      </c>
      <c r="J94" s="509"/>
      <c r="K94" s="1428"/>
      <c r="L94" s="152"/>
      <c r="M94" s="279"/>
      <c r="N94" s="272"/>
      <c r="O94" s="1552"/>
      <c r="P94" s="1552"/>
      <c r="AH94" s="1559">
        <v>0</v>
      </c>
    </row>
    <row r="95" spans="1:34" s="1563" customFormat="1" ht="0.75" hidden="1" customHeight="1">
      <c r="A95" s="1707"/>
      <c r="B95" s="1707"/>
      <c r="C95" s="307" t="s">
        <v>1152</v>
      </c>
      <c r="D95" s="2348"/>
      <c r="E95" s="2150"/>
      <c r="F95" s="2282"/>
      <c r="G95" s="338"/>
      <c r="H95" s="1428"/>
      <c r="I95" s="589"/>
      <c r="J95" s="509"/>
      <c r="K95" s="1428"/>
      <c r="L95" s="152"/>
      <c r="M95" s="279"/>
      <c r="N95" s="272"/>
      <c r="O95" s="1552"/>
      <c r="P95" s="1552"/>
      <c r="AH95" s="1559">
        <v>0</v>
      </c>
    </row>
    <row r="96" spans="1:34" s="1563" customFormat="1" ht="45" hidden="1" customHeight="1">
      <c r="A96" s="1707" t="s">
        <v>173</v>
      </c>
      <c r="B96" s="1707" t="s">
        <v>174</v>
      </c>
      <c r="C96" s="307"/>
      <c r="D96" s="2348"/>
      <c r="E96" s="2150"/>
      <c r="F96" s="228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3" t="str">
        <f>INDEX(PT_DIFFERENTIATION_NTAR,MATCH(B96,PT_DIFFERENTIATION_NTAR_ID,0))</f>
        <v/>
      </c>
      <c r="H96" s="1788"/>
      <c r="I96" s="1666"/>
      <c r="J96" s="1700"/>
      <c r="K96" s="1705"/>
      <c r="L96" s="1788" t="s">
        <v>304</v>
      </c>
      <c r="M96" s="279"/>
      <c r="N96" s="272"/>
      <c r="O96" s="1552"/>
      <c r="P96" s="1552"/>
      <c r="AH96" s="1559">
        <v>0</v>
      </c>
    </row>
    <row r="97" spans="1:34" s="1563" customFormat="1" ht="18.75" hidden="1" customHeight="1">
      <c r="A97" s="1707"/>
      <c r="B97" s="1707"/>
      <c r="C97" s="307" t="s">
        <v>1145</v>
      </c>
      <c r="D97" s="2348"/>
      <c r="E97" s="2150"/>
      <c r="F97" s="2282"/>
      <c r="G97" s="2323"/>
      <c r="H97" s="1428"/>
      <c r="I97" s="589" t="s">
        <v>1144</v>
      </c>
      <c r="J97" s="509"/>
      <c r="K97" s="1428"/>
      <c r="L97" s="152"/>
      <c r="M97" s="279"/>
      <c r="N97" s="272"/>
      <c r="O97" s="1552"/>
      <c r="P97" s="1552"/>
      <c r="AH97" s="1559">
        <v>0</v>
      </c>
    </row>
    <row r="98" spans="1:34" s="1563" customFormat="1" ht="0.75" hidden="1" customHeight="1">
      <c r="A98" s="1707"/>
      <c r="B98" s="1707"/>
      <c r="C98" s="307" t="s">
        <v>1152</v>
      </c>
      <c r="D98" s="2348"/>
      <c r="E98" s="2150"/>
      <c r="F98" s="2282"/>
      <c r="G98" s="338"/>
      <c r="H98" s="1428"/>
      <c r="I98" s="589"/>
      <c r="J98" s="509"/>
      <c r="K98" s="1428"/>
      <c r="L98" s="152"/>
      <c r="M98" s="279"/>
      <c r="N98" s="272"/>
      <c r="O98" s="1552"/>
      <c r="P98" s="1552"/>
      <c r="AH98" s="1559">
        <v>0</v>
      </c>
    </row>
    <row r="99" spans="1:34" s="1563" customFormat="1" ht="18.75" hidden="1" customHeight="1">
      <c r="A99" s="1707" t="s">
        <v>179</v>
      </c>
      <c r="B99" s="1707" t="s">
        <v>180</v>
      </c>
      <c r="C99" s="307"/>
      <c r="D99" s="2348"/>
      <c r="E99" s="2150"/>
      <c r="F99" s="2282" t="str">
        <f>INDEX(PT_DIFFERENTIATION_VTAR,MATCH(A99,PT_DIFFERENTIATION_VTAR_ID,0))</f>
        <v>Тарифы на услуги по передаче тепловой энергии</v>
      </c>
      <c r="G99" s="2323" t="str">
        <f>INDEX(PT_DIFFERENTIATION_NTAR,MATCH(B99,PT_DIFFERENTIATION_NTAR_ID,0))</f>
        <v/>
      </c>
      <c r="H99" s="1788"/>
      <c r="I99" s="1666"/>
      <c r="J99" s="1700"/>
      <c r="K99" s="1705"/>
      <c r="L99" s="1788" t="s">
        <v>304</v>
      </c>
      <c r="M99" s="279"/>
      <c r="N99" s="272"/>
      <c r="O99" s="1552"/>
      <c r="P99" s="1552"/>
      <c r="AH99" s="1559">
        <v>0</v>
      </c>
    </row>
    <row r="100" spans="1:34" s="1563" customFormat="1" ht="18.75" hidden="1" customHeight="1">
      <c r="A100" s="1707"/>
      <c r="B100" s="1707"/>
      <c r="C100" s="307" t="s">
        <v>1145</v>
      </c>
      <c r="D100" s="2348"/>
      <c r="E100" s="2150"/>
      <c r="F100" s="2282"/>
      <c r="G100" s="2323"/>
      <c r="H100" s="1428"/>
      <c r="I100" s="589" t="s">
        <v>1144</v>
      </c>
      <c r="J100" s="509"/>
      <c r="K100" s="1428"/>
      <c r="L100" s="152"/>
      <c r="M100" s="279"/>
      <c r="N100" s="272"/>
      <c r="O100" s="1552"/>
      <c r="P100" s="1552"/>
      <c r="AH100" s="1559">
        <v>0</v>
      </c>
    </row>
    <row r="101" spans="1:34" s="1563" customFormat="1" ht="0.75" hidden="1" customHeight="1">
      <c r="A101" s="1707"/>
      <c r="B101" s="1707"/>
      <c r="C101" s="307" t="s">
        <v>1152</v>
      </c>
      <c r="D101" s="2348"/>
      <c r="E101" s="2150"/>
      <c r="F101" s="2282"/>
      <c r="G101" s="338"/>
      <c r="H101" s="1428"/>
      <c r="I101" s="589"/>
      <c r="J101" s="509"/>
      <c r="K101" s="1428"/>
      <c r="L101" s="152"/>
      <c r="M101" s="279"/>
      <c r="N101" s="272"/>
      <c r="O101" s="1552"/>
      <c r="P101" s="1552"/>
      <c r="AH101" s="1559">
        <v>0</v>
      </c>
    </row>
    <row r="102" spans="1:34" s="1563" customFormat="1" ht="18.75" hidden="1" customHeight="1">
      <c r="A102" s="1707" t="s">
        <v>185</v>
      </c>
      <c r="B102" s="1707" t="s">
        <v>186</v>
      </c>
      <c r="C102" s="307"/>
      <c r="D102" s="2348"/>
      <c r="E102" s="2150"/>
      <c r="F102" s="2282" t="str">
        <f>INDEX(PT_DIFFERENTIATION_VTAR,MATCH(A102,PT_DIFFERENTIATION_VTAR_ID,0))</f>
        <v>Тарифы на услуги по передаче теплоносителя</v>
      </c>
      <c r="G102" s="2323" t="str">
        <f>INDEX(PT_DIFFERENTIATION_NTAR,MATCH(B102,PT_DIFFERENTIATION_NTAR_ID,0))</f>
        <v/>
      </c>
      <c r="H102" s="1788"/>
      <c r="I102" s="1666"/>
      <c r="J102" s="1700"/>
      <c r="K102" s="1705"/>
      <c r="L102" s="1788" t="s">
        <v>304</v>
      </c>
      <c r="M102" s="279"/>
      <c r="N102" s="272"/>
      <c r="O102" s="1552"/>
      <c r="P102" s="1552"/>
      <c r="AH102" s="1559">
        <v>0</v>
      </c>
    </row>
    <row r="103" spans="1:34" s="1563" customFormat="1" ht="18.75" hidden="1" customHeight="1">
      <c r="A103" s="1707"/>
      <c r="B103" s="1707"/>
      <c r="C103" s="307" t="s">
        <v>1145</v>
      </c>
      <c r="D103" s="2348"/>
      <c r="E103" s="2150"/>
      <c r="F103" s="2282"/>
      <c r="G103" s="2323"/>
      <c r="H103" s="1428"/>
      <c r="I103" s="589" t="s">
        <v>1144</v>
      </c>
      <c r="J103" s="509"/>
      <c r="K103" s="1428"/>
      <c r="L103" s="152"/>
      <c r="M103" s="279"/>
      <c r="N103" s="272"/>
      <c r="O103" s="1552"/>
      <c r="P103" s="1552"/>
      <c r="AH103" s="1559">
        <v>0</v>
      </c>
    </row>
    <row r="104" spans="1:34" s="1563" customFormat="1" ht="0.75" hidden="1" customHeight="1">
      <c r="A104" s="1707"/>
      <c r="B104" s="1707"/>
      <c r="C104" s="307" t="s">
        <v>1152</v>
      </c>
      <c r="D104" s="2348"/>
      <c r="E104" s="2150"/>
      <c r="F104" s="2282"/>
      <c r="G104" s="338"/>
      <c r="H104" s="1428"/>
      <c r="I104" s="589"/>
      <c r="J104" s="509"/>
      <c r="K104" s="1428"/>
      <c r="L104" s="152"/>
      <c r="M104" s="279"/>
      <c r="N104" s="272"/>
      <c r="O104" s="1552"/>
      <c r="P104" s="1552"/>
      <c r="AH104" s="1559">
        <v>0</v>
      </c>
    </row>
    <row r="105" spans="1:34" s="1563" customFormat="1" ht="18.75" hidden="1" customHeight="1">
      <c r="A105" s="1707" t="s">
        <v>191</v>
      </c>
      <c r="B105" s="1707" t="s">
        <v>192</v>
      </c>
      <c r="C105" s="307"/>
      <c r="D105" s="2348"/>
      <c r="E105" s="2150"/>
      <c r="F105" s="228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3" t="str">
        <f>INDEX(PT_DIFFERENTIATION_NTAR,MATCH(B105,PT_DIFFERENTIATION_NTAR_ID,0))</f>
        <v/>
      </c>
      <c r="H105" s="1788"/>
      <c r="I105" s="1666"/>
      <c r="J105" s="1700"/>
      <c r="K105" s="1705"/>
      <c r="L105" s="1788" t="s">
        <v>304</v>
      </c>
      <c r="M105" s="279"/>
      <c r="N105" s="272"/>
      <c r="O105" s="1552"/>
      <c r="P105" s="1552"/>
      <c r="AH105" s="1559">
        <v>0</v>
      </c>
    </row>
    <row r="106" spans="1:34" s="1563" customFormat="1" ht="18.75" hidden="1" customHeight="1">
      <c r="A106" s="1707"/>
      <c r="B106" s="1707"/>
      <c r="C106" s="307" t="s">
        <v>1145</v>
      </c>
      <c r="D106" s="2348"/>
      <c r="E106" s="2150"/>
      <c r="F106" s="2282"/>
      <c r="G106" s="2323"/>
      <c r="H106" s="1428"/>
      <c r="I106" s="589" t="s">
        <v>1144</v>
      </c>
      <c r="J106" s="509"/>
      <c r="K106" s="1428"/>
      <c r="L106" s="152"/>
      <c r="M106" s="279"/>
      <c r="N106" s="272"/>
      <c r="O106" s="1552"/>
      <c r="P106" s="1552"/>
      <c r="AH106" s="1559">
        <v>0</v>
      </c>
    </row>
    <row r="107" spans="1:34" s="1563" customFormat="1" ht="0.75" hidden="1" customHeight="1">
      <c r="A107" s="1707"/>
      <c r="B107" s="1707"/>
      <c r="C107" s="307" t="s">
        <v>1152</v>
      </c>
      <c r="D107" s="2348"/>
      <c r="E107" s="2150"/>
      <c r="F107" s="2282"/>
      <c r="G107" s="338"/>
      <c r="H107" s="1428"/>
      <c r="I107" s="589"/>
      <c r="J107" s="509"/>
      <c r="K107" s="1428"/>
      <c r="L107" s="152"/>
      <c r="M107" s="279"/>
      <c r="N107" s="272"/>
      <c r="O107" s="1552"/>
      <c r="P107" s="1552"/>
      <c r="AH107" s="1559">
        <v>0</v>
      </c>
    </row>
    <row r="108" spans="1:34" s="1563" customFormat="1" ht="18.75" hidden="1" customHeight="1">
      <c r="A108" s="1707" t="s">
        <v>197</v>
      </c>
      <c r="B108" s="1707" t="s">
        <v>198</v>
      </c>
      <c r="C108" s="307"/>
      <c r="D108" s="2348"/>
      <c r="E108" s="2150"/>
      <c r="F108" s="2282" t="str">
        <f>INDEX(PT_DIFFERENTIATION_VTAR,MATCH(A108,PT_DIFFERENTIATION_VTAR_ID,0))</f>
        <v>Плата за подключение (технологическое присоединение) к системе теплоснабжения</v>
      </c>
      <c r="G108" s="2323" t="str">
        <f>INDEX(PT_DIFFERENTIATION_NTAR,MATCH(B108,PT_DIFFERENTIATION_NTAR_ID,0))</f>
        <v/>
      </c>
      <c r="H108" s="1788"/>
      <c r="I108" s="1666"/>
      <c r="J108" s="1700"/>
      <c r="K108" s="1705"/>
      <c r="L108" s="1788" t="s">
        <v>304</v>
      </c>
      <c r="M108" s="279"/>
      <c r="N108" s="272"/>
      <c r="O108" s="1552"/>
      <c r="P108" s="1552"/>
      <c r="AH108" s="1559">
        <v>0</v>
      </c>
    </row>
    <row r="109" spans="1:34" s="1563" customFormat="1" ht="18.75" hidden="1" customHeight="1">
      <c r="A109" s="1707"/>
      <c r="B109" s="1707"/>
      <c r="C109" s="307" t="s">
        <v>1145</v>
      </c>
      <c r="D109" s="2348"/>
      <c r="E109" s="2150"/>
      <c r="F109" s="2282"/>
      <c r="G109" s="2323"/>
      <c r="H109" s="1428"/>
      <c r="I109" s="589" t="s">
        <v>1144</v>
      </c>
      <c r="J109" s="509"/>
      <c r="K109" s="1428"/>
      <c r="L109" s="152"/>
      <c r="M109" s="279"/>
      <c r="N109" s="272"/>
      <c r="O109" s="1552"/>
      <c r="P109" s="1552"/>
      <c r="AH109" s="1559">
        <v>0</v>
      </c>
    </row>
    <row r="110" spans="1:34" s="1563" customFormat="1" ht="0.75" hidden="1" customHeight="1">
      <c r="A110" s="1707"/>
      <c r="B110" s="1707"/>
      <c r="C110" s="307" t="s">
        <v>1152</v>
      </c>
      <c r="D110" s="2348"/>
      <c r="E110" s="2150"/>
      <c r="F110" s="2282"/>
      <c r="G110" s="338"/>
      <c r="H110" s="1428"/>
      <c r="I110" s="589"/>
      <c r="J110" s="509"/>
      <c r="K110" s="1428"/>
      <c r="L110" s="152"/>
      <c r="M110" s="279"/>
      <c r="N110" s="272"/>
      <c r="O110" s="1552"/>
      <c r="P110" s="1552"/>
      <c r="AH110" s="1559">
        <v>0</v>
      </c>
    </row>
    <row r="111" spans="1:34" s="1563" customFormat="1" ht="18.75" hidden="1" customHeight="1">
      <c r="A111" s="1707" t="s">
        <v>203</v>
      </c>
      <c r="B111" s="1707" t="s">
        <v>204</v>
      </c>
      <c r="C111" s="307"/>
      <c r="D111" s="2348"/>
      <c r="E111" s="2150"/>
      <c r="F111" s="2282" t="str">
        <f>INDEX(PT_DIFFERENTIATION_VTAR,MATCH(A111,PT_DIFFERENTIATION_VTAR_ID,0))</f>
        <v>Плата за подключение (технологическое присоединение) к системе теплоснабжения (индивидуальная)</v>
      </c>
      <c r="G111" s="2323" t="str">
        <f>INDEX(PT_DIFFERENTIATION_NTAR,MATCH(B111,PT_DIFFERENTIATION_NTAR_ID,0))</f>
        <v/>
      </c>
      <c r="H111" s="1912"/>
      <c r="I111" s="1666"/>
      <c r="J111" s="1700"/>
      <c r="K111" s="1705"/>
      <c r="L111" s="1912" t="s">
        <v>304</v>
      </c>
      <c r="M111" s="279"/>
      <c r="N111" s="272"/>
      <c r="O111" s="1552"/>
      <c r="P111" s="1552"/>
      <c r="AH111" s="1559">
        <v>0</v>
      </c>
    </row>
    <row r="112" spans="1:34" s="1563" customFormat="1" ht="18.75" hidden="1" customHeight="1">
      <c r="A112" s="1707"/>
      <c r="B112" s="1707"/>
      <c r="C112" s="307" t="s">
        <v>1145</v>
      </c>
      <c r="D112" s="2348"/>
      <c r="E112" s="2150"/>
      <c r="F112" s="2282"/>
      <c r="G112" s="2323"/>
      <c r="H112" s="1428"/>
      <c r="I112" s="589" t="s">
        <v>1144</v>
      </c>
      <c r="J112" s="509"/>
      <c r="K112" s="1428"/>
      <c r="L112" s="152"/>
      <c r="M112" s="279"/>
      <c r="N112" s="272"/>
      <c r="O112" s="1552"/>
      <c r="P112" s="1552"/>
      <c r="AH112" s="1559">
        <v>0</v>
      </c>
    </row>
    <row r="113" spans="1:34" s="1563" customFormat="1" ht="0.75" hidden="1" customHeight="1">
      <c r="A113" s="1707"/>
      <c r="B113" s="1707"/>
      <c r="C113" s="307" t="s">
        <v>1152</v>
      </c>
      <c r="D113" s="2348"/>
      <c r="E113" s="2150"/>
      <c r="F113" s="2282"/>
      <c r="G113" s="338"/>
      <c r="H113" s="1428"/>
      <c r="I113" s="589"/>
      <c r="J113" s="509"/>
      <c r="K113" s="1428"/>
      <c r="L113" s="152"/>
      <c r="M113" s="279"/>
      <c r="N113" s="272"/>
      <c r="O113" s="1552"/>
      <c r="P113" s="1552"/>
      <c r="AH113" s="1559">
        <v>0</v>
      </c>
    </row>
    <row r="114" spans="1:34" s="1563" customFormat="1" ht="18.75" hidden="1" customHeight="1">
      <c r="A114" s="1707" t="s">
        <v>223</v>
      </c>
      <c r="B114" s="1707" t="s">
        <v>224</v>
      </c>
      <c r="C114" s="307"/>
      <c r="D114" s="2348"/>
      <c r="E114" s="2150"/>
      <c r="F114" s="2282" t="str">
        <f>INDEX(PT_DIFFERENTIATION_VTAR,MATCH(A114,PT_DIFFERENTIATION_VTAR_ID,0))</f>
        <v>Тариф на питьевую воду (питьевое водоснабжение)</v>
      </c>
      <c r="G114" s="2323" t="str">
        <f>INDEX(PT_DIFFERENTIATION_NTAR,MATCH(B114,PT_DIFFERENTIATION_NTAR_ID,0))</f>
        <v/>
      </c>
      <c r="H114" s="1788"/>
      <c r="I114" s="1666"/>
      <c r="J114" s="1700"/>
      <c r="K114" s="1705"/>
      <c r="L114" s="1788" t="s">
        <v>304</v>
      </c>
      <c r="M114" s="279"/>
      <c r="N114" s="272"/>
      <c r="O114" s="1552"/>
      <c r="P114" s="1552"/>
      <c r="AH114" s="1559">
        <v>0</v>
      </c>
    </row>
    <row r="115" spans="1:34" s="1563" customFormat="1" ht="18.75" hidden="1" customHeight="1">
      <c r="A115" s="1707"/>
      <c r="B115" s="1707"/>
      <c r="C115" s="307" t="s">
        <v>1145</v>
      </c>
      <c r="D115" s="2348"/>
      <c r="E115" s="2150"/>
      <c r="F115" s="2282"/>
      <c r="G115" s="2323"/>
      <c r="H115" s="1428"/>
      <c r="I115" s="589" t="s">
        <v>1144</v>
      </c>
      <c r="J115" s="509"/>
      <c r="K115" s="1428"/>
      <c r="L115" s="152"/>
      <c r="M115" s="279"/>
      <c r="N115" s="272"/>
      <c r="O115" s="1552"/>
      <c r="P115" s="1552"/>
      <c r="AH115" s="1559">
        <v>0</v>
      </c>
    </row>
    <row r="116" spans="1:34" s="1563" customFormat="1" ht="0.75" hidden="1" customHeight="1">
      <c r="A116" s="1707"/>
      <c r="B116" s="1707"/>
      <c r="C116" s="307" t="s">
        <v>1152</v>
      </c>
      <c r="D116" s="2348"/>
      <c r="E116" s="2150"/>
      <c r="F116" s="2282"/>
      <c r="G116" s="338"/>
      <c r="H116" s="1428"/>
      <c r="I116" s="589"/>
      <c r="J116" s="509"/>
      <c r="K116" s="1428"/>
      <c r="L116" s="152"/>
      <c r="M116" s="279"/>
      <c r="N116" s="272"/>
      <c r="O116" s="1552"/>
      <c r="P116" s="1552"/>
      <c r="AH116" s="1559">
        <v>0</v>
      </c>
    </row>
    <row r="117" spans="1:34" s="1563" customFormat="1" ht="18.75" hidden="1" customHeight="1">
      <c r="A117" s="1707" t="s">
        <v>228</v>
      </c>
      <c r="B117" s="1707" t="s">
        <v>229</v>
      </c>
      <c r="C117" s="307"/>
      <c r="D117" s="2348"/>
      <c r="E117" s="2150"/>
      <c r="F117" s="2282" t="str">
        <f>INDEX(PT_DIFFERENTIATION_VTAR,MATCH(A117,PT_DIFFERENTIATION_VTAR_ID,0))</f>
        <v>Тариф на техническую воду</v>
      </c>
      <c r="G117" s="2323" t="str">
        <f>INDEX(PT_DIFFERENTIATION_NTAR,MATCH(B117,PT_DIFFERENTIATION_NTAR_ID,0))</f>
        <v/>
      </c>
      <c r="H117" s="1788"/>
      <c r="I117" s="1666"/>
      <c r="J117" s="1700"/>
      <c r="K117" s="1705"/>
      <c r="L117" s="1788" t="s">
        <v>304</v>
      </c>
      <c r="M117" s="279"/>
      <c r="N117" s="272"/>
      <c r="O117" s="1552"/>
      <c r="P117" s="1552"/>
      <c r="AH117" s="1559">
        <v>0</v>
      </c>
    </row>
    <row r="118" spans="1:34" s="1563" customFormat="1" ht="18.75" hidden="1" customHeight="1">
      <c r="A118" s="1707"/>
      <c r="B118" s="1707"/>
      <c r="C118" s="307" t="s">
        <v>1145</v>
      </c>
      <c r="D118" s="2348"/>
      <c r="E118" s="2150"/>
      <c r="F118" s="2282"/>
      <c r="G118" s="2323"/>
      <c r="H118" s="1428"/>
      <c r="I118" s="589" t="s">
        <v>1144</v>
      </c>
      <c r="J118" s="509"/>
      <c r="K118" s="1428"/>
      <c r="L118" s="152"/>
      <c r="M118" s="279"/>
      <c r="N118" s="272"/>
      <c r="O118" s="1552"/>
      <c r="P118" s="1552"/>
      <c r="AH118" s="1559">
        <v>0</v>
      </c>
    </row>
    <row r="119" spans="1:34" s="1563" customFormat="1" ht="0.75" hidden="1" customHeight="1">
      <c r="A119" s="1707"/>
      <c r="B119" s="1707"/>
      <c r="C119" s="307" t="s">
        <v>1152</v>
      </c>
      <c r="D119" s="2348"/>
      <c r="E119" s="2150"/>
      <c r="F119" s="2282"/>
      <c r="G119" s="338"/>
      <c r="H119" s="1428"/>
      <c r="I119" s="589"/>
      <c r="J119" s="509"/>
      <c r="K119" s="1428"/>
      <c r="L119" s="152"/>
      <c r="M119" s="279"/>
      <c r="N119" s="272"/>
      <c r="O119" s="1552"/>
      <c r="P119" s="1552"/>
      <c r="AH119" s="1559">
        <v>0</v>
      </c>
    </row>
    <row r="120" spans="1:34" s="1563" customFormat="1" ht="18.75" hidden="1" customHeight="1">
      <c r="A120" s="1707" t="s">
        <v>233</v>
      </c>
      <c r="B120" s="1707" t="s">
        <v>234</v>
      </c>
      <c r="C120" s="307"/>
      <c r="D120" s="2348"/>
      <c r="E120" s="2150"/>
      <c r="F120" s="2282" t="str">
        <f>INDEX(PT_DIFFERENTIATION_VTAR,MATCH(A120,PT_DIFFERENTIATION_VTAR_ID,0))</f>
        <v>Тариф на транспортировку воды</v>
      </c>
      <c r="G120" s="2323" t="str">
        <f>INDEX(PT_DIFFERENTIATION_NTAR,MATCH(B120,PT_DIFFERENTIATION_NTAR_ID,0))</f>
        <v/>
      </c>
      <c r="H120" s="1788"/>
      <c r="I120" s="1666"/>
      <c r="J120" s="1700"/>
      <c r="K120" s="1705"/>
      <c r="L120" s="1788" t="s">
        <v>304</v>
      </c>
      <c r="M120" s="279"/>
      <c r="N120" s="272"/>
      <c r="O120" s="1552"/>
      <c r="P120" s="1552"/>
      <c r="AH120" s="1559">
        <v>0</v>
      </c>
    </row>
    <row r="121" spans="1:34" s="1563" customFormat="1" ht="18.75" hidden="1" customHeight="1">
      <c r="A121" s="1707"/>
      <c r="B121" s="1707"/>
      <c r="C121" s="307" t="s">
        <v>1145</v>
      </c>
      <c r="D121" s="2348"/>
      <c r="E121" s="2150"/>
      <c r="F121" s="2282"/>
      <c r="G121" s="2323"/>
      <c r="H121" s="1428"/>
      <c r="I121" s="589" t="s">
        <v>1144</v>
      </c>
      <c r="J121" s="509"/>
      <c r="K121" s="1428"/>
      <c r="L121" s="152"/>
      <c r="M121" s="279"/>
      <c r="N121" s="272"/>
      <c r="O121" s="1552"/>
      <c r="P121" s="1552"/>
      <c r="AH121" s="1559">
        <v>0</v>
      </c>
    </row>
    <row r="122" spans="1:34" s="1563" customFormat="1" ht="0.75" hidden="1" customHeight="1">
      <c r="A122" s="1707"/>
      <c r="B122" s="1707"/>
      <c r="C122" s="307" t="s">
        <v>1152</v>
      </c>
      <c r="D122" s="2348"/>
      <c r="E122" s="2150"/>
      <c r="F122" s="2282"/>
      <c r="G122" s="338"/>
      <c r="H122" s="1428"/>
      <c r="I122" s="589"/>
      <c r="J122" s="509"/>
      <c r="K122" s="1428"/>
      <c r="L122" s="152"/>
      <c r="M122" s="279"/>
      <c r="N122" s="272"/>
      <c r="O122" s="1552"/>
      <c r="P122" s="1552"/>
      <c r="AH122" s="1559">
        <v>0</v>
      </c>
    </row>
    <row r="123" spans="1:34" s="1563" customFormat="1" ht="18.75" hidden="1" customHeight="1">
      <c r="A123" s="1707" t="s">
        <v>238</v>
      </c>
      <c r="B123" s="1707" t="s">
        <v>239</v>
      </c>
      <c r="C123" s="307"/>
      <c r="D123" s="2348"/>
      <c r="E123" s="2150"/>
      <c r="F123" s="2282" t="str">
        <f>INDEX(PT_DIFFERENTIATION_VTAR,MATCH(A123,PT_DIFFERENTIATION_VTAR_ID,0))</f>
        <v>Тариф на подвоз воды</v>
      </c>
      <c r="G123" s="2323" t="str">
        <f>INDEX(PT_DIFFERENTIATION_NTAR,MATCH(B123,PT_DIFFERENTIATION_NTAR_ID,0))</f>
        <v/>
      </c>
      <c r="H123" s="1788"/>
      <c r="I123" s="1666"/>
      <c r="J123" s="1700"/>
      <c r="K123" s="1705"/>
      <c r="L123" s="1788" t="s">
        <v>304</v>
      </c>
      <c r="M123" s="279"/>
      <c r="N123" s="272"/>
      <c r="O123" s="1552"/>
      <c r="P123" s="1552"/>
      <c r="AH123" s="1559">
        <v>0</v>
      </c>
    </row>
    <row r="124" spans="1:34" s="1563" customFormat="1" ht="18.75" hidden="1" customHeight="1">
      <c r="A124" s="1707"/>
      <c r="B124" s="1707"/>
      <c r="C124" s="307" t="s">
        <v>1145</v>
      </c>
      <c r="D124" s="2348"/>
      <c r="E124" s="2150"/>
      <c r="F124" s="2282"/>
      <c r="G124" s="2323"/>
      <c r="H124" s="1428"/>
      <c r="I124" s="589" t="s">
        <v>1144</v>
      </c>
      <c r="J124" s="509"/>
      <c r="K124" s="1428"/>
      <c r="L124" s="152"/>
      <c r="M124" s="279"/>
      <c r="N124" s="272"/>
      <c r="O124" s="1552"/>
      <c r="P124" s="1552"/>
      <c r="AH124" s="1559">
        <v>0</v>
      </c>
    </row>
    <row r="125" spans="1:34" s="1563" customFormat="1" ht="0.75" hidden="1" customHeight="1">
      <c r="A125" s="1707"/>
      <c r="B125" s="1707"/>
      <c r="C125" s="307" t="s">
        <v>1152</v>
      </c>
      <c r="D125" s="2348"/>
      <c r="E125" s="2150"/>
      <c r="F125" s="2282"/>
      <c r="G125" s="338"/>
      <c r="H125" s="1428"/>
      <c r="I125" s="589"/>
      <c r="J125" s="509"/>
      <c r="K125" s="1428"/>
      <c r="L125" s="152"/>
      <c r="M125" s="279"/>
      <c r="N125" s="272"/>
      <c r="O125" s="1552"/>
      <c r="P125" s="1552"/>
      <c r="AH125" s="1559">
        <v>0</v>
      </c>
    </row>
    <row r="126" spans="1:34" s="1563" customFormat="1" ht="18.75" hidden="1" customHeight="1">
      <c r="A126" s="1707" t="s">
        <v>243</v>
      </c>
      <c r="B126" s="1707" t="s">
        <v>244</v>
      </c>
      <c r="C126" s="307"/>
      <c r="D126" s="2348"/>
      <c r="E126" s="2150"/>
      <c r="F126" s="228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3" t="str">
        <f>INDEX(PT_DIFFERENTIATION_NTAR,MATCH(B126,PT_DIFFERENTIATION_NTAR_ID,0))</f>
        <v/>
      </c>
      <c r="H126" s="1788"/>
      <c r="I126" s="1666"/>
      <c r="J126" s="1700"/>
      <c r="K126" s="1705"/>
      <c r="L126" s="1788" t="s">
        <v>304</v>
      </c>
      <c r="M126" s="279"/>
      <c r="N126" s="272"/>
      <c r="O126" s="1552"/>
      <c r="P126" s="1552"/>
      <c r="AH126" s="1559">
        <v>0</v>
      </c>
    </row>
    <row r="127" spans="1:34" s="1563" customFormat="1" ht="18.75" hidden="1" customHeight="1">
      <c r="A127" s="1707"/>
      <c r="B127" s="1707"/>
      <c r="C127" s="307" t="s">
        <v>1145</v>
      </c>
      <c r="D127" s="2348"/>
      <c r="E127" s="2150"/>
      <c r="F127" s="2282"/>
      <c r="G127" s="2323"/>
      <c r="H127" s="1428"/>
      <c r="I127" s="589" t="s">
        <v>1144</v>
      </c>
      <c r="J127" s="509"/>
      <c r="K127" s="1428"/>
      <c r="L127" s="152"/>
      <c r="M127" s="279"/>
      <c r="N127" s="272"/>
      <c r="O127" s="1552"/>
      <c r="P127" s="1552"/>
      <c r="AH127" s="1559">
        <v>0</v>
      </c>
    </row>
    <row r="128" spans="1:34" s="1563" customFormat="1" ht="0.75" hidden="1" customHeight="1">
      <c r="A128" s="1707"/>
      <c r="B128" s="1707"/>
      <c r="C128" s="307" t="s">
        <v>1152</v>
      </c>
      <c r="D128" s="2348"/>
      <c r="E128" s="2150"/>
      <c r="F128" s="2282"/>
      <c r="G128" s="338"/>
      <c r="H128" s="1428"/>
      <c r="I128" s="589"/>
      <c r="J128" s="509"/>
      <c r="K128" s="1428"/>
      <c r="L128" s="152"/>
      <c r="M128" s="279"/>
      <c r="N128" s="272"/>
      <c r="O128" s="1552"/>
      <c r="P128" s="1552"/>
      <c r="AH128" s="1559">
        <v>0</v>
      </c>
    </row>
    <row r="129" spans="1:34" s="1563" customFormat="1" ht="18.75" hidden="1" customHeight="1">
      <c r="A129" s="1707" t="s">
        <v>248</v>
      </c>
      <c r="B129" s="1707" t="s">
        <v>249</v>
      </c>
      <c r="C129" s="307"/>
      <c r="D129" s="2348"/>
      <c r="E129" s="2150"/>
      <c r="F129" s="2282" t="str">
        <f>INDEX(PT_DIFFERENTIATION_VTAR,MATCH(A129,PT_DIFFERENTIATION_VTAR_ID,0))</f>
        <v>Тариф на горячую воду (горячее водоснабжение)</v>
      </c>
      <c r="G129" s="2323" t="str">
        <f>INDEX(PT_DIFFERENTIATION_NTAR,MATCH(B129,PT_DIFFERENTIATION_NTAR_ID,0))</f>
        <v/>
      </c>
      <c r="H129" s="1788"/>
      <c r="I129" s="1666"/>
      <c r="J129" s="1700"/>
      <c r="K129" s="1705"/>
      <c r="L129" s="1788" t="s">
        <v>304</v>
      </c>
      <c r="M129" s="279"/>
      <c r="N129" s="272"/>
      <c r="O129" s="1552"/>
      <c r="P129" s="1552"/>
      <c r="AH129" s="1559">
        <v>0</v>
      </c>
    </row>
    <row r="130" spans="1:34" s="1563" customFormat="1" ht="18.75" hidden="1" customHeight="1">
      <c r="A130" s="1707"/>
      <c r="B130" s="1707"/>
      <c r="C130" s="307" t="s">
        <v>1145</v>
      </c>
      <c r="D130" s="2348"/>
      <c r="E130" s="2150"/>
      <c r="F130" s="2282"/>
      <c r="G130" s="2323"/>
      <c r="H130" s="1428"/>
      <c r="I130" s="589" t="s">
        <v>1144</v>
      </c>
      <c r="J130" s="509"/>
      <c r="K130" s="1428"/>
      <c r="L130" s="152"/>
      <c r="M130" s="279"/>
      <c r="N130" s="272"/>
      <c r="O130" s="1552"/>
      <c r="P130" s="1552"/>
      <c r="AH130" s="1559">
        <v>0</v>
      </c>
    </row>
    <row r="131" spans="1:34" s="1563" customFormat="1" ht="0.75" hidden="1" customHeight="1">
      <c r="A131" s="1707"/>
      <c r="B131" s="1707"/>
      <c r="C131" s="307" t="s">
        <v>1152</v>
      </c>
      <c r="D131" s="2348"/>
      <c r="E131" s="2150"/>
      <c r="F131" s="2282"/>
      <c r="G131" s="338"/>
      <c r="H131" s="1428"/>
      <c r="I131" s="589"/>
      <c r="J131" s="509"/>
      <c r="K131" s="1428"/>
      <c r="L131" s="152"/>
      <c r="M131" s="279"/>
      <c r="N131" s="272"/>
      <c r="O131" s="1552"/>
      <c r="P131" s="1552"/>
      <c r="AH131" s="1559">
        <v>0</v>
      </c>
    </row>
    <row r="132" spans="1:34" s="1563" customFormat="1" ht="18.75" hidden="1" customHeight="1">
      <c r="A132" s="1707" t="s">
        <v>253</v>
      </c>
      <c r="B132" s="1707" t="s">
        <v>254</v>
      </c>
      <c r="C132" s="307"/>
      <c r="D132" s="2348"/>
      <c r="E132" s="2150"/>
      <c r="F132" s="2282" t="str">
        <f>INDEX(PT_DIFFERENTIATION_VTAR,MATCH(A132,PT_DIFFERENTIATION_VTAR_ID,0))</f>
        <v>Тариф на транспортировку горячей воды</v>
      </c>
      <c r="G132" s="2323" t="str">
        <f>INDEX(PT_DIFFERENTIATION_NTAR,MATCH(B132,PT_DIFFERENTIATION_NTAR_ID,0))</f>
        <v/>
      </c>
      <c r="H132" s="1788"/>
      <c r="I132" s="1666"/>
      <c r="J132" s="1700"/>
      <c r="K132" s="1705"/>
      <c r="L132" s="1788" t="s">
        <v>304</v>
      </c>
      <c r="M132" s="279"/>
      <c r="N132" s="272"/>
      <c r="O132" s="1552"/>
      <c r="P132" s="1552"/>
      <c r="AH132" s="1559">
        <v>0</v>
      </c>
    </row>
    <row r="133" spans="1:34" s="1563" customFormat="1" ht="18.75" hidden="1" customHeight="1">
      <c r="A133" s="1707"/>
      <c r="B133" s="1707"/>
      <c r="C133" s="307" t="s">
        <v>1145</v>
      </c>
      <c r="D133" s="2348"/>
      <c r="E133" s="2150"/>
      <c r="F133" s="2282"/>
      <c r="G133" s="2323"/>
      <c r="H133" s="1428"/>
      <c r="I133" s="589" t="s">
        <v>1144</v>
      </c>
      <c r="J133" s="509"/>
      <c r="K133" s="1428"/>
      <c r="L133" s="152"/>
      <c r="M133" s="279"/>
      <c r="N133" s="272"/>
      <c r="O133" s="1552"/>
      <c r="P133" s="1552"/>
      <c r="AH133" s="1559">
        <v>0</v>
      </c>
    </row>
    <row r="134" spans="1:34" s="1563" customFormat="1" ht="0.75" hidden="1" customHeight="1">
      <c r="A134" s="1707"/>
      <c r="B134" s="1707"/>
      <c r="C134" s="307" t="s">
        <v>1152</v>
      </c>
      <c r="D134" s="2348"/>
      <c r="E134" s="2150"/>
      <c r="F134" s="2282"/>
      <c r="G134" s="338"/>
      <c r="H134" s="1428"/>
      <c r="I134" s="589"/>
      <c r="J134" s="509"/>
      <c r="K134" s="1428"/>
      <c r="L134" s="152"/>
      <c r="M134" s="279"/>
      <c r="N134" s="272"/>
      <c r="O134" s="1552"/>
      <c r="P134" s="1552"/>
      <c r="AH134" s="1559">
        <v>0</v>
      </c>
    </row>
    <row r="135" spans="1:34" s="1563" customFormat="1" ht="18.75" hidden="1" customHeight="1">
      <c r="A135" s="1707" t="s">
        <v>258</v>
      </c>
      <c r="B135" s="1707" t="s">
        <v>259</v>
      </c>
      <c r="C135" s="307"/>
      <c r="D135" s="2348"/>
      <c r="E135" s="2150"/>
      <c r="F135" s="2282"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3" t="str">
        <f>INDEX(PT_DIFFERENTIATION_NTAR,MATCH(B135,PT_DIFFERENTIATION_NTAR_ID,0))</f>
        <v/>
      </c>
      <c r="H135" s="1788"/>
      <c r="I135" s="1666"/>
      <c r="J135" s="1700"/>
      <c r="K135" s="1705"/>
      <c r="L135" s="1788" t="s">
        <v>304</v>
      </c>
      <c r="M135" s="279"/>
      <c r="N135" s="272"/>
      <c r="O135" s="1552"/>
      <c r="P135" s="1552"/>
      <c r="AH135" s="1559">
        <v>0</v>
      </c>
    </row>
    <row r="136" spans="1:34" s="1563" customFormat="1" ht="18.75" hidden="1" customHeight="1">
      <c r="A136" s="1707"/>
      <c r="B136" s="1707"/>
      <c r="C136" s="307" t="s">
        <v>1145</v>
      </c>
      <c r="D136" s="2348"/>
      <c r="E136" s="2150"/>
      <c r="F136" s="2282"/>
      <c r="G136" s="2323"/>
      <c r="H136" s="1428"/>
      <c r="I136" s="589" t="s">
        <v>1144</v>
      </c>
      <c r="J136" s="509"/>
      <c r="K136" s="1428"/>
      <c r="L136" s="152"/>
      <c r="M136" s="279"/>
      <c r="N136" s="272"/>
      <c r="O136" s="1552"/>
      <c r="P136" s="1552"/>
      <c r="AH136" s="1559">
        <v>0</v>
      </c>
    </row>
    <row r="137" spans="1:34" s="1563" customFormat="1" ht="0.75" hidden="1" customHeight="1">
      <c r="A137" s="1707"/>
      <c r="B137" s="1707"/>
      <c r="C137" s="307" t="s">
        <v>1152</v>
      </c>
      <c r="D137" s="2348"/>
      <c r="E137" s="2150"/>
      <c r="F137" s="2282"/>
      <c r="G137" s="338"/>
      <c r="H137" s="1428"/>
      <c r="I137" s="589"/>
      <c r="J137" s="509"/>
      <c r="K137" s="1428"/>
      <c r="L137" s="152"/>
      <c r="M137" s="279"/>
      <c r="N137" s="272"/>
      <c r="O137" s="1552"/>
      <c r="P137" s="1552"/>
      <c r="AH137" s="1559">
        <v>0</v>
      </c>
    </row>
    <row r="138" spans="1:34" s="1563" customFormat="1" ht="18.75" hidden="1" customHeight="1">
      <c r="A138" s="1707" t="s">
        <v>263</v>
      </c>
      <c r="B138" s="1707" t="s">
        <v>264</v>
      </c>
      <c r="C138" s="307"/>
      <c r="D138" s="2348"/>
      <c r="E138" s="2150"/>
      <c r="F138" s="2282" t="str">
        <f>INDEX(PT_DIFFERENTIATION_VTAR,MATCH(A138,PT_DIFFERENTIATION_VTAR_ID,0))</f>
        <v>Тариф на водоотведение</v>
      </c>
      <c r="G138" s="2323" t="str">
        <f>INDEX(PT_DIFFERENTIATION_NTAR,MATCH(B138,PT_DIFFERENTIATION_NTAR_ID,0))</f>
        <v/>
      </c>
      <c r="H138" s="1788"/>
      <c r="I138" s="1666"/>
      <c r="J138" s="1700"/>
      <c r="K138" s="1705"/>
      <c r="L138" s="1788" t="s">
        <v>304</v>
      </c>
      <c r="M138" s="279"/>
      <c r="N138" s="272"/>
      <c r="O138" s="1552"/>
      <c r="P138" s="1552"/>
      <c r="AH138" s="1559">
        <v>0</v>
      </c>
    </row>
    <row r="139" spans="1:34" s="1563" customFormat="1" ht="18.75" hidden="1" customHeight="1">
      <c r="A139" s="1707"/>
      <c r="B139" s="1707"/>
      <c r="C139" s="307" t="s">
        <v>1145</v>
      </c>
      <c r="D139" s="2348"/>
      <c r="E139" s="2150"/>
      <c r="F139" s="2282"/>
      <c r="G139" s="2323"/>
      <c r="H139" s="1428"/>
      <c r="I139" s="589" t="s">
        <v>1144</v>
      </c>
      <c r="J139" s="509"/>
      <c r="K139" s="1428"/>
      <c r="L139" s="152"/>
      <c r="M139" s="279"/>
      <c r="N139" s="272"/>
      <c r="O139" s="1552"/>
      <c r="P139" s="1552"/>
      <c r="AH139" s="1559">
        <v>0</v>
      </c>
    </row>
    <row r="140" spans="1:34" s="1563" customFormat="1" ht="0.75" hidden="1" customHeight="1">
      <c r="A140" s="1707"/>
      <c r="B140" s="1707"/>
      <c r="C140" s="307" t="s">
        <v>1152</v>
      </c>
      <c r="D140" s="2348"/>
      <c r="E140" s="2150"/>
      <c r="F140" s="2282"/>
      <c r="G140" s="338"/>
      <c r="H140" s="1428"/>
      <c r="I140" s="589"/>
      <c r="J140" s="509"/>
      <c r="K140" s="1428"/>
      <c r="L140" s="152"/>
      <c r="M140" s="279"/>
      <c r="N140" s="272"/>
      <c r="O140" s="1552"/>
      <c r="P140" s="1552"/>
      <c r="AH140" s="1559">
        <v>0</v>
      </c>
    </row>
    <row r="141" spans="1:34" s="1563" customFormat="1" ht="18.75" hidden="1" customHeight="1">
      <c r="A141" s="1707" t="s">
        <v>268</v>
      </c>
      <c r="B141" s="1707" t="s">
        <v>269</v>
      </c>
      <c r="C141" s="307"/>
      <c r="D141" s="2348"/>
      <c r="E141" s="2150"/>
      <c r="F141" s="2282" t="str">
        <f>INDEX(PT_DIFFERENTIATION_VTAR,MATCH(A141,PT_DIFFERENTIATION_VTAR_ID,0))</f>
        <v>Тариф на транспортировку сточных вод</v>
      </c>
      <c r="G141" s="2323" t="str">
        <f>INDEX(PT_DIFFERENTIATION_NTAR,MATCH(B141,PT_DIFFERENTIATION_NTAR_ID,0))</f>
        <v/>
      </c>
      <c r="H141" s="1788"/>
      <c r="I141" s="1666"/>
      <c r="J141" s="1700"/>
      <c r="K141" s="1705"/>
      <c r="L141" s="1788" t="s">
        <v>304</v>
      </c>
      <c r="M141" s="279"/>
      <c r="N141" s="272"/>
      <c r="O141" s="1552"/>
      <c r="P141" s="1552"/>
      <c r="AH141" s="1559">
        <v>0</v>
      </c>
    </row>
    <row r="142" spans="1:34" s="1563" customFormat="1" ht="18.75" hidden="1" customHeight="1">
      <c r="A142" s="1707"/>
      <c r="B142" s="1707"/>
      <c r="C142" s="307" t="s">
        <v>1145</v>
      </c>
      <c r="D142" s="2348"/>
      <c r="E142" s="2150"/>
      <c r="F142" s="2282"/>
      <c r="G142" s="2323"/>
      <c r="H142" s="1428"/>
      <c r="I142" s="589" t="s">
        <v>1144</v>
      </c>
      <c r="J142" s="509"/>
      <c r="K142" s="1428"/>
      <c r="L142" s="152"/>
      <c r="M142" s="279"/>
      <c r="N142" s="272"/>
      <c r="O142" s="1552"/>
      <c r="P142" s="1552"/>
      <c r="AH142" s="1559">
        <v>0</v>
      </c>
    </row>
    <row r="143" spans="1:34" s="1563" customFormat="1" ht="0.75" hidden="1" customHeight="1">
      <c r="A143" s="1707"/>
      <c r="B143" s="1707"/>
      <c r="C143" s="307" t="s">
        <v>1152</v>
      </c>
      <c r="D143" s="2348"/>
      <c r="E143" s="2150"/>
      <c r="F143" s="2282"/>
      <c r="G143" s="338"/>
      <c r="H143" s="1428"/>
      <c r="I143" s="589"/>
      <c r="J143" s="509"/>
      <c r="K143" s="1428"/>
      <c r="L143" s="152"/>
      <c r="M143" s="279"/>
      <c r="N143" s="272"/>
      <c r="O143" s="1552"/>
      <c r="P143" s="1552"/>
      <c r="AH143" s="1559">
        <v>0</v>
      </c>
    </row>
    <row r="144" spans="1:34" s="1563" customFormat="1" ht="18.75" hidden="1" customHeight="1">
      <c r="A144" s="1707" t="s">
        <v>273</v>
      </c>
      <c r="B144" s="1707" t="s">
        <v>274</v>
      </c>
      <c r="C144" s="307"/>
      <c r="D144" s="2348"/>
      <c r="E144" s="2150"/>
      <c r="F144" s="2282" t="str">
        <f>INDEX(PT_DIFFERENTIATION_VTAR,MATCH(A144,PT_DIFFERENTIATION_VTAR_ID,0))</f>
        <v>Тариф на подключение (технологическое присоединение) к централизованной системе водоотведения</v>
      </c>
      <c r="G144" s="2323" t="str">
        <f>INDEX(PT_DIFFERENTIATION_NTAR,MATCH(B144,PT_DIFFERENTIATION_NTAR_ID,0))</f>
        <v/>
      </c>
      <c r="H144" s="1788"/>
      <c r="I144" s="1666"/>
      <c r="J144" s="1700"/>
      <c r="K144" s="1705"/>
      <c r="L144" s="1788" t="s">
        <v>304</v>
      </c>
      <c r="M144" s="279"/>
      <c r="N144" s="272"/>
      <c r="O144" s="1552"/>
      <c r="P144" s="1552"/>
      <c r="AH144" s="1559">
        <v>0</v>
      </c>
    </row>
    <row r="145" spans="1:34" s="1563" customFormat="1" ht="18.75" hidden="1" customHeight="1">
      <c r="A145" s="1707"/>
      <c r="B145" s="1707"/>
      <c r="C145" s="307" t="s">
        <v>1145</v>
      </c>
      <c r="D145" s="2348"/>
      <c r="E145" s="2150"/>
      <c r="F145" s="2282"/>
      <c r="G145" s="2323"/>
      <c r="H145" s="1428"/>
      <c r="I145" s="589" t="s">
        <v>1144</v>
      </c>
      <c r="J145" s="509"/>
      <c r="K145" s="1428"/>
      <c r="L145" s="152"/>
      <c r="M145" s="279"/>
      <c r="N145" s="272"/>
      <c r="O145" s="1552"/>
      <c r="P145" s="1552"/>
      <c r="AH145" s="1559">
        <v>0</v>
      </c>
    </row>
    <row r="146" spans="1:34" s="1563" customFormat="1" ht="1.1499999999999999" customHeight="1">
      <c r="A146" s="1707"/>
      <c r="B146" s="1707"/>
      <c r="C146" s="307" t="s">
        <v>1152</v>
      </c>
      <c r="D146" s="2348"/>
      <c r="E146" s="2150"/>
      <c r="F146" s="2282"/>
      <c r="G146" s="338"/>
      <c r="H146" s="1428"/>
      <c r="I146" s="589"/>
      <c r="J146" s="509"/>
      <c r="K146" s="1428"/>
      <c r="L146" s="152"/>
      <c r="M146" s="279"/>
      <c r="N146" s="272"/>
      <c r="O146" s="1552"/>
      <c r="P146" s="1552"/>
      <c r="AH146" s="1559">
        <v>1</v>
      </c>
    </row>
    <row r="147" spans="1:34" ht="19.899999999999999" customHeight="1">
      <c r="A147" s="1707"/>
      <c r="B147" s="1707"/>
      <c r="D147" s="314"/>
      <c r="E147" s="85" t="s">
        <v>90</v>
      </c>
      <c r="F147" s="234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47"/>
      <c r="H147" s="2347"/>
      <c r="I147" s="2347"/>
      <c r="J147" s="2347"/>
      <c r="K147" s="2347"/>
      <c r="L147" s="2347"/>
      <c r="M147" s="235"/>
      <c r="N147" s="272"/>
      <c r="AH147" s="312">
        <v>19</v>
      </c>
    </row>
    <row r="148" spans="1:34" s="1563" customFormat="1" ht="60.75" hidden="1" customHeight="1">
      <c r="A148" s="1707" t="s">
        <v>155</v>
      </c>
      <c r="B148" s="1707" t="s">
        <v>156</v>
      </c>
      <c r="C148" s="307"/>
      <c r="D148" s="2348"/>
      <c r="E148" s="2150"/>
      <c r="F148" s="228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3" t="str">
        <f>INDEX(PT_DIFFERENTIATION_NTAR,MATCH(B148,PT_DIFFERENTIATION_NTAR_ID,0))</f>
        <v/>
      </c>
      <c r="H148" s="1788"/>
      <c r="I148" s="1666"/>
      <c r="J148" s="1700"/>
      <c r="K148" s="1705"/>
      <c r="L148" s="1788" t="s">
        <v>304</v>
      </c>
      <c r="M148"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2"/>
      <c r="P148" s="1552"/>
      <c r="AH148" s="1559">
        <v>0</v>
      </c>
    </row>
    <row r="149" spans="1:34" s="1563" customFormat="1" ht="18.75" hidden="1" customHeight="1">
      <c r="A149" s="1707"/>
      <c r="B149" s="1707"/>
      <c r="C149" s="307" t="s">
        <v>1145</v>
      </c>
      <c r="D149" s="2348"/>
      <c r="E149" s="2150"/>
      <c r="F149" s="2282"/>
      <c r="G149" s="2323"/>
      <c r="H149" s="1428"/>
      <c r="I149" s="589" t="s">
        <v>1144</v>
      </c>
      <c r="J149" s="509"/>
      <c r="K149" s="1428"/>
      <c r="L149" s="152"/>
      <c r="M149" s="2111"/>
      <c r="N149" s="272"/>
      <c r="O149" s="1552"/>
      <c r="P149" s="1552"/>
      <c r="AH149" s="1559">
        <v>0</v>
      </c>
    </row>
    <row r="150" spans="1:34" s="1563" customFormat="1" ht="0.75" hidden="1" customHeight="1">
      <c r="A150" s="1707"/>
      <c r="B150" s="1707"/>
      <c r="C150" s="307" t="s">
        <v>1152</v>
      </c>
      <c r="D150" s="2348"/>
      <c r="E150" s="2150"/>
      <c r="F150" s="2282"/>
      <c r="G150" s="338"/>
      <c r="H150" s="1428"/>
      <c r="I150" s="589"/>
      <c r="J150" s="509"/>
      <c r="K150" s="1428"/>
      <c r="L150" s="152"/>
      <c r="M150" s="2111"/>
      <c r="N150" s="272"/>
      <c r="O150" s="1552"/>
      <c r="P150" s="1552"/>
      <c r="AH150" s="1559">
        <v>0</v>
      </c>
    </row>
    <row r="151" spans="1:34" s="1563" customFormat="1" ht="45" hidden="1" customHeight="1">
      <c r="A151" s="1707" t="s">
        <v>160</v>
      </c>
      <c r="B151" s="1707" t="s">
        <v>161</v>
      </c>
      <c r="C151" s="307"/>
      <c r="D151" s="2348"/>
      <c r="E151" s="2150"/>
      <c r="F151" s="2282" t="str">
        <f>INDEX(PT_DIFFERENTIATION_VTAR,MATCH(A151,PT_DIFFERENTIATION_VTAR_ID,0))</f>
        <v/>
      </c>
      <c r="G151" s="2323" t="str">
        <f>INDEX(PT_DIFFERENTIATION_NTAR,MATCH(B151,PT_DIFFERENTIATION_NTAR_ID,0))</f>
        <v/>
      </c>
      <c r="H151" s="1788"/>
      <c r="I151" s="1666"/>
      <c r="J151" s="1700"/>
      <c r="K151" s="1705"/>
      <c r="L151" s="1788" t="s">
        <v>304</v>
      </c>
      <c r="M151" s="2112"/>
      <c r="N151" s="272"/>
      <c r="O151" s="1552"/>
      <c r="P151" s="1552"/>
      <c r="AH151" s="1559">
        <v>0</v>
      </c>
    </row>
    <row r="152" spans="1:34" s="1563" customFormat="1" ht="18.75" hidden="1" customHeight="1">
      <c r="A152" s="1707"/>
      <c r="B152" s="1707"/>
      <c r="C152" s="307" t="s">
        <v>1145</v>
      </c>
      <c r="D152" s="2348"/>
      <c r="E152" s="2150"/>
      <c r="F152" s="2282"/>
      <c r="G152" s="2323"/>
      <c r="H152" s="1428"/>
      <c r="I152" s="589" t="s">
        <v>1144</v>
      </c>
      <c r="J152" s="509"/>
      <c r="K152" s="1428"/>
      <c r="L152" s="152"/>
      <c r="M152" s="1787"/>
      <c r="N152" s="272"/>
      <c r="O152" s="1552"/>
      <c r="P152" s="1552"/>
      <c r="AH152" s="1559">
        <v>0</v>
      </c>
    </row>
    <row r="153" spans="1:34" s="1563" customFormat="1" ht="0.75" hidden="1" customHeight="1">
      <c r="A153" s="1707"/>
      <c r="B153" s="1707"/>
      <c r="C153" s="307" t="s">
        <v>1152</v>
      </c>
      <c r="D153" s="2348"/>
      <c r="E153" s="2150"/>
      <c r="F153" s="2282"/>
      <c r="G153" s="338"/>
      <c r="H153" s="1428"/>
      <c r="I153" s="589"/>
      <c r="J153" s="509"/>
      <c r="K153" s="1428"/>
      <c r="L153" s="152"/>
      <c r="M153" s="279"/>
      <c r="N153" s="272"/>
      <c r="O153" s="1552"/>
      <c r="P153" s="1552"/>
      <c r="AH153" s="1559">
        <v>0</v>
      </c>
    </row>
    <row r="154" spans="1:34" s="1563" customFormat="1" ht="45" hidden="1" customHeight="1">
      <c r="A154" s="1707" t="s">
        <v>167</v>
      </c>
      <c r="B154" s="1707" t="s">
        <v>168</v>
      </c>
      <c r="C154" s="307"/>
      <c r="D154" s="2348"/>
      <c r="E154" s="2150"/>
      <c r="F154" s="228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3" t="str">
        <f>INDEX(PT_DIFFERENTIATION_NTAR,MATCH(B154,PT_DIFFERENTIATION_NTAR_ID,0))</f>
        <v/>
      </c>
      <c r="H154" s="1788"/>
      <c r="I154" s="1666"/>
      <c r="J154" s="1700"/>
      <c r="K154" s="1705"/>
      <c r="L154" s="1788" t="s">
        <v>304</v>
      </c>
      <c r="M154" s="279"/>
      <c r="N154" s="272"/>
      <c r="O154" s="1552"/>
      <c r="P154" s="1552"/>
      <c r="AH154" s="1559">
        <v>0</v>
      </c>
    </row>
    <row r="155" spans="1:34" s="1563" customFormat="1" ht="18.75" hidden="1" customHeight="1">
      <c r="A155" s="1707"/>
      <c r="B155" s="1707"/>
      <c r="C155" s="307" t="s">
        <v>1145</v>
      </c>
      <c r="D155" s="2348"/>
      <c r="E155" s="2150"/>
      <c r="F155" s="2282"/>
      <c r="G155" s="2323"/>
      <c r="H155" s="1428"/>
      <c r="I155" s="589" t="s">
        <v>1144</v>
      </c>
      <c r="J155" s="509"/>
      <c r="K155" s="1428"/>
      <c r="L155" s="152"/>
      <c r="M155" s="279"/>
      <c r="N155" s="272"/>
      <c r="O155" s="1552"/>
      <c r="P155" s="1552"/>
      <c r="AH155" s="1559">
        <v>0</v>
      </c>
    </row>
    <row r="156" spans="1:34" s="1563" customFormat="1" ht="0.75" hidden="1" customHeight="1">
      <c r="A156" s="1707"/>
      <c r="B156" s="1707"/>
      <c r="C156" s="307" t="s">
        <v>1152</v>
      </c>
      <c r="D156" s="2348"/>
      <c r="E156" s="2150"/>
      <c r="F156" s="2282"/>
      <c r="G156" s="338"/>
      <c r="H156" s="1428"/>
      <c r="I156" s="589"/>
      <c r="J156" s="509"/>
      <c r="K156" s="1428"/>
      <c r="L156" s="152"/>
      <c r="M156" s="279"/>
      <c r="N156" s="272"/>
      <c r="O156" s="1552"/>
      <c r="P156" s="1552"/>
      <c r="AH156" s="1559">
        <v>0</v>
      </c>
    </row>
    <row r="157" spans="1:34" s="1563" customFormat="1" ht="45" hidden="1" customHeight="1">
      <c r="A157" s="1707" t="s">
        <v>173</v>
      </c>
      <c r="B157" s="1707" t="s">
        <v>174</v>
      </c>
      <c r="C157" s="307"/>
      <c r="D157" s="2348"/>
      <c r="E157" s="2150"/>
      <c r="F157" s="228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3" t="str">
        <f>INDEX(PT_DIFFERENTIATION_NTAR,MATCH(B157,PT_DIFFERENTIATION_NTAR_ID,0))</f>
        <v/>
      </c>
      <c r="H157" s="1788"/>
      <c r="I157" s="1666"/>
      <c r="J157" s="1700"/>
      <c r="K157" s="1705"/>
      <c r="L157" s="1788" t="s">
        <v>304</v>
      </c>
      <c r="M157" s="279"/>
      <c r="N157" s="272"/>
      <c r="O157" s="1552"/>
      <c r="P157" s="1552"/>
      <c r="AH157" s="1559">
        <v>0</v>
      </c>
    </row>
    <row r="158" spans="1:34" s="1563" customFormat="1" ht="18.75" hidden="1" customHeight="1">
      <c r="A158" s="1707"/>
      <c r="B158" s="1707"/>
      <c r="C158" s="307" t="s">
        <v>1145</v>
      </c>
      <c r="D158" s="2348"/>
      <c r="E158" s="2150"/>
      <c r="F158" s="2282"/>
      <c r="G158" s="2323"/>
      <c r="H158" s="1428"/>
      <c r="I158" s="589" t="s">
        <v>1144</v>
      </c>
      <c r="J158" s="509"/>
      <c r="K158" s="1428"/>
      <c r="L158" s="152"/>
      <c r="M158" s="279"/>
      <c r="N158" s="272"/>
      <c r="O158" s="1552"/>
      <c r="P158" s="1552"/>
      <c r="AH158" s="1559">
        <v>0</v>
      </c>
    </row>
    <row r="159" spans="1:34" s="1563" customFormat="1" ht="0.75" hidden="1" customHeight="1">
      <c r="A159" s="1707"/>
      <c r="B159" s="1707"/>
      <c r="C159" s="307" t="s">
        <v>1152</v>
      </c>
      <c r="D159" s="2348"/>
      <c r="E159" s="2150"/>
      <c r="F159" s="2282"/>
      <c r="G159" s="338"/>
      <c r="H159" s="1428"/>
      <c r="I159" s="589"/>
      <c r="J159" s="509"/>
      <c r="K159" s="1428"/>
      <c r="L159" s="152"/>
      <c r="M159" s="279"/>
      <c r="N159" s="272"/>
      <c r="O159" s="1552"/>
      <c r="P159" s="1552"/>
      <c r="AH159" s="1559">
        <v>0</v>
      </c>
    </row>
    <row r="160" spans="1:34" s="1563" customFormat="1" ht="18.75" hidden="1" customHeight="1">
      <c r="A160" s="1707" t="s">
        <v>179</v>
      </c>
      <c r="B160" s="1707" t="s">
        <v>180</v>
      </c>
      <c r="C160" s="307"/>
      <c r="D160" s="2348"/>
      <c r="E160" s="2150"/>
      <c r="F160" s="2282" t="str">
        <f>INDEX(PT_DIFFERENTIATION_VTAR,MATCH(A160,PT_DIFFERENTIATION_VTAR_ID,0))</f>
        <v>Тарифы на услуги по передаче тепловой энергии</v>
      </c>
      <c r="G160" s="2323" t="str">
        <f>INDEX(PT_DIFFERENTIATION_NTAR,MATCH(B160,PT_DIFFERENTIATION_NTAR_ID,0))</f>
        <v/>
      </c>
      <c r="H160" s="1788"/>
      <c r="I160" s="1666"/>
      <c r="J160" s="1700"/>
      <c r="K160" s="1705"/>
      <c r="L160" s="1788" t="s">
        <v>304</v>
      </c>
      <c r="M160" s="279"/>
      <c r="N160" s="272"/>
      <c r="O160" s="1552"/>
      <c r="P160" s="1552"/>
      <c r="AH160" s="1559">
        <v>0</v>
      </c>
    </row>
    <row r="161" spans="1:34" s="1563" customFormat="1" ht="18.75" hidden="1" customHeight="1">
      <c r="A161" s="1707"/>
      <c r="B161" s="1707"/>
      <c r="C161" s="307" t="s">
        <v>1145</v>
      </c>
      <c r="D161" s="2348"/>
      <c r="E161" s="2150"/>
      <c r="F161" s="2282"/>
      <c r="G161" s="2323"/>
      <c r="H161" s="1428"/>
      <c r="I161" s="589" t="s">
        <v>1144</v>
      </c>
      <c r="J161" s="509"/>
      <c r="K161" s="1428"/>
      <c r="L161" s="152"/>
      <c r="M161" s="279"/>
      <c r="N161" s="272"/>
      <c r="O161" s="1552"/>
      <c r="P161" s="1552"/>
      <c r="AH161" s="1559">
        <v>0</v>
      </c>
    </row>
    <row r="162" spans="1:34" s="1563" customFormat="1" ht="0.75" hidden="1" customHeight="1">
      <c r="A162" s="1707"/>
      <c r="B162" s="1707"/>
      <c r="C162" s="307" t="s">
        <v>1152</v>
      </c>
      <c r="D162" s="2348"/>
      <c r="E162" s="2150"/>
      <c r="F162" s="2282"/>
      <c r="G162" s="338"/>
      <c r="H162" s="1428"/>
      <c r="I162" s="589"/>
      <c r="J162" s="509"/>
      <c r="K162" s="1428"/>
      <c r="L162" s="152"/>
      <c r="M162" s="279"/>
      <c r="N162" s="272"/>
      <c r="O162" s="1552"/>
      <c r="P162" s="1552"/>
      <c r="AH162" s="1559">
        <v>0</v>
      </c>
    </row>
    <row r="163" spans="1:34" s="1563" customFormat="1" ht="18.75" hidden="1" customHeight="1">
      <c r="A163" s="1707" t="s">
        <v>185</v>
      </c>
      <c r="B163" s="1707" t="s">
        <v>186</v>
      </c>
      <c r="C163" s="307"/>
      <c r="D163" s="2348"/>
      <c r="E163" s="2150"/>
      <c r="F163" s="2282" t="str">
        <f>INDEX(PT_DIFFERENTIATION_VTAR,MATCH(A163,PT_DIFFERENTIATION_VTAR_ID,0))</f>
        <v>Тарифы на услуги по передаче теплоносителя</v>
      </c>
      <c r="G163" s="2323" t="str">
        <f>INDEX(PT_DIFFERENTIATION_NTAR,MATCH(B163,PT_DIFFERENTIATION_NTAR_ID,0))</f>
        <v/>
      </c>
      <c r="H163" s="1788"/>
      <c r="I163" s="1666"/>
      <c r="J163" s="1700"/>
      <c r="K163" s="1705"/>
      <c r="L163" s="1788" t="s">
        <v>304</v>
      </c>
      <c r="M163" s="279"/>
      <c r="N163" s="272"/>
      <c r="O163" s="1552"/>
      <c r="P163" s="1552"/>
      <c r="AH163" s="1559">
        <v>0</v>
      </c>
    </row>
    <row r="164" spans="1:34" s="1563" customFormat="1" ht="18.75" hidden="1" customHeight="1">
      <c r="A164" s="1707"/>
      <c r="B164" s="1707"/>
      <c r="C164" s="307" t="s">
        <v>1145</v>
      </c>
      <c r="D164" s="2348"/>
      <c r="E164" s="2150"/>
      <c r="F164" s="2282"/>
      <c r="G164" s="2323"/>
      <c r="H164" s="1428"/>
      <c r="I164" s="589" t="s">
        <v>1144</v>
      </c>
      <c r="J164" s="509"/>
      <c r="K164" s="1428"/>
      <c r="L164" s="152"/>
      <c r="M164" s="279"/>
      <c r="N164" s="272"/>
      <c r="O164" s="1552"/>
      <c r="P164" s="1552"/>
      <c r="AH164" s="1559">
        <v>0</v>
      </c>
    </row>
    <row r="165" spans="1:34" s="1563" customFormat="1" ht="0.75" hidden="1" customHeight="1">
      <c r="A165" s="1707"/>
      <c r="B165" s="1707"/>
      <c r="C165" s="307" t="s">
        <v>1152</v>
      </c>
      <c r="D165" s="2348"/>
      <c r="E165" s="2150"/>
      <c r="F165" s="2282"/>
      <c r="G165" s="338"/>
      <c r="H165" s="1428"/>
      <c r="I165" s="589"/>
      <c r="J165" s="509"/>
      <c r="K165" s="1428"/>
      <c r="L165" s="152"/>
      <c r="M165" s="279"/>
      <c r="N165" s="272"/>
      <c r="O165" s="1552"/>
      <c r="P165" s="1552"/>
      <c r="AH165" s="1559">
        <v>0</v>
      </c>
    </row>
    <row r="166" spans="1:34" s="1563" customFormat="1" ht="18.75" hidden="1" customHeight="1">
      <c r="A166" s="1707" t="s">
        <v>191</v>
      </c>
      <c r="B166" s="1707" t="s">
        <v>192</v>
      </c>
      <c r="C166" s="307"/>
      <c r="D166" s="2348"/>
      <c r="E166" s="2150"/>
      <c r="F166" s="228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3" t="str">
        <f>INDEX(PT_DIFFERENTIATION_NTAR,MATCH(B166,PT_DIFFERENTIATION_NTAR_ID,0))</f>
        <v/>
      </c>
      <c r="H166" s="1788"/>
      <c r="I166" s="1666"/>
      <c r="J166" s="1700"/>
      <c r="K166" s="1705"/>
      <c r="L166" s="1788" t="s">
        <v>304</v>
      </c>
      <c r="M166" s="279"/>
      <c r="N166" s="272"/>
      <c r="O166" s="1552"/>
      <c r="P166" s="1552"/>
      <c r="AH166" s="1559">
        <v>0</v>
      </c>
    </row>
    <row r="167" spans="1:34" s="1563" customFormat="1" ht="18.75" hidden="1" customHeight="1">
      <c r="A167" s="1707"/>
      <c r="B167" s="1707"/>
      <c r="C167" s="307" t="s">
        <v>1145</v>
      </c>
      <c r="D167" s="2348"/>
      <c r="E167" s="2150"/>
      <c r="F167" s="2282"/>
      <c r="G167" s="2323"/>
      <c r="H167" s="1428"/>
      <c r="I167" s="589" t="s">
        <v>1144</v>
      </c>
      <c r="J167" s="509"/>
      <c r="K167" s="1428"/>
      <c r="L167" s="152"/>
      <c r="M167" s="279"/>
      <c r="N167" s="272"/>
      <c r="O167" s="1552"/>
      <c r="P167" s="1552"/>
      <c r="AH167" s="1559">
        <v>0</v>
      </c>
    </row>
    <row r="168" spans="1:34" s="1563" customFormat="1" ht="0.75" hidden="1" customHeight="1">
      <c r="A168" s="1707"/>
      <c r="B168" s="1707"/>
      <c r="C168" s="307" t="s">
        <v>1152</v>
      </c>
      <c r="D168" s="2348"/>
      <c r="E168" s="2150"/>
      <c r="F168" s="2282"/>
      <c r="G168" s="338"/>
      <c r="H168" s="1428"/>
      <c r="I168" s="589"/>
      <c r="J168" s="509"/>
      <c r="K168" s="1428"/>
      <c r="L168" s="152"/>
      <c r="M168" s="279"/>
      <c r="N168" s="272"/>
      <c r="O168" s="1552"/>
      <c r="P168" s="1552"/>
      <c r="AH168" s="1559">
        <v>0</v>
      </c>
    </row>
    <row r="169" spans="1:34" s="1563" customFormat="1" ht="18.75" hidden="1" customHeight="1">
      <c r="A169" s="1707" t="s">
        <v>197</v>
      </c>
      <c r="B169" s="1707" t="s">
        <v>198</v>
      </c>
      <c r="C169" s="307"/>
      <c r="D169" s="2348"/>
      <c r="E169" s="2150"/>
      <c r="F169" s="2282" t="str">
        <f>INDEX(PT_DIFFERENTIATION_VTAR,MATCH(A169,PT_DIFFERENTIATION_VTAR_ID,0))</f>
        <v>Плата за подключение (технологическое присоединение) к системе теплоснабжения</v>
      </c>
      <c r="G169" s="2323" t="str">
        <f>INDEX(PT_DIFFERENTIATION_NTAR,MATCH(B169,PT_DIFFERENTIATION_NTAR_ID,0))</f>
        <v/>
      </c>
      <c r="H169" s="1788"/>
      <c r="I169" s="1666"/>
      <c r="J169" s="1700"/>
      <c r="K169" s="1705"/>
      <c r="L169" s="1788" t="s">
        <v>304</v>
      </c>
      <c r="M169" s="279"/>
      <c r="N169" s="272"/>
      <c r="O169" s="1552"/>
      <c r="P169" s="1552"/>
      <c r="AH169" s="1559">
        <v>0</v>
      </c>
    </row>
    <row r="170" spans="1:34" s="1563" customFormat="1" ht="18.75" hidden="1" customHeight="1">
      <c r="A170" s="1707"/>
      <c r="B170" s="1707"/>
      <c r="C170" s="307" t="s">
        <v>1145</v>
      </c>
      <c r="D170" s="2348"/>
      <c r="E170" s="2150"/>
      <c r="F170" s="2282"/>
      <c r="G170" s="2323"/>
      <c r="H170" s="1428"/>
      <c r="I170" s="589" t="s">
        <v>1144</v>
      </c>
      <c r="J170" s="509"/>
      <c r="K170" s="1428"/>
      <c r="L170" s="152"/>
      <c r="M170" s="279"/>
      <c r="N170" s="272"/>
      <c r="O170" s="1552"/>
      <c r="P170" s="1552"/>
      <c r="AH170" s="1559">
        <v>0</v>
      </c>
    </row>
    <row r="171" spans="1:34" s="1563" customFormat="1" ht="0.75" hidden="1" customHeight="1">
      <c r="A171" s="1707"/>
      <c r="B171" s="1707"/>
      <c r="C171" s="307" t="s">
        <v>1152</v>
      </c>
      <c r="D171" s="2348"/>
      <c r="E171" s="2150"/>
      <c r="F171" s="2282"/>
      <c r="G171" s="338"/>
      <c r="H171" s="1428"/>
      <c r="I171" s="589"/>
      <c r="J171" s="509"/>
      <c r="K171" s="1428"/>
      <c r="L171" s="152"/>
      <c r="M171" s="279"/>
      <c r="N171" s="272"/>
      <c r="O171" s="1552"/>
      <c r="P171" s="1552"/>
      <c r="AH171" s="1559">
        <v>0</v>
      </c>
    </row>
    <row r="172" spans="1:34" s="1563" customFormat="1" ht="18.75" hidden="1" customHeight="1">
      <c r="A172" s="1707" t="s">
        <v>203</v>
      </c>
      <c r="B172" s="1707" t="s">
        <v>204</v>
      </c>
      <c r="C172" s="307"/>
      <c r="D172" s="2348"/>
      <c r="E172" s="2150"/>
      <c r="F172" s="2282" t="str">
        <f>INDEX(PT_DIFFERENTIATION_VTAR,MATCH(A172,PT_DIFFERENTIATION_VTAR_ID,0))</f>
        <v>Плата за подключение (технологическое присоединение) к системе теплоснабжения (индивидуальная)</v>
      </c>
      <c r="G172" s="2323" t="str">
        <f>INDEX(PT_DIFFERENTIATION_NTAR,MATCH(B172,PT_DIFFERENTIATION_NTAR_ID,0))</f>
        <v/>
      </c>
      <c r="H172" s="1912"/>
      <c r="I172" s="1666"/>
      <c r="J172" s="1700"/>
      <c r="K172" s="1705"/>
      <c r="L172" s="1912" t="s">
        <v>304</v>
      </c>
      <c r="M172" s="279"/>
      <c r="N172" s="272"/>
      <c r="O172" s="1552"/>
      <c r="P172" s="1552"/>
      <c r="AH172" s="1559">
        <v>0</v>
      </c>
    </row>
    <row r="173" spans="1:34" s="1563" customFormat="1" ht="18.75" hidden="1" customHeight="1">
      <c r="A173" s="1707"/>
      <c r="B173" s="1707"/>
      <c r="C173" s="307" t="s">
        <v>1145</v>
      </c>
      <c r="D173" s="2348"/>
      <c r="E173" s="2150"/>
      <c r="F173" s="2282"/>
      <c r="G173" s="2323"/>
      <c r="H173" s="1428"/>
      <c r="I173" s="589" t="s">
        <v>1144</v>
      </c>
      <c r="J173" s="509"/>
      <c r="K173" s="1428"/>
      <c r="L173" s="152"/>
      <c r="M173" s="279"/>
      <c r="N173" s="272"/>
      <c r="O173" s="1552"/>
      <c r="P173" s="1552"/>
      <c r="AH173" s="1559">
        <v>0</v>
      </c>
    </row>
    <row r="174" spans="1:34" s="1563" customFormat="1" ht="0.75" hidden="1" customHeight="1">
      <c r="A174" s="1707"/>
      <c r="B174" s="1707"/>
      <c r="C174" s="307" t="s">
        <v>1152</v>
      </c>
      <c r="D174" s="2348"/>
      <c r="E174" s="2150"/>
      <c r="F174" s="2282"/>
      <c r="G174" s="338"/>
      <c r="H174" s="1428"/>
      <c r="I174" s="589"/>
      <c r="J174" s="509"/>
      <c r="K174" s="1428"/>
      <c r="L174" s="152"/>
      <c r="M174" s="279"/>
      <c r="N174" s="272"/>
      <c r="O174" s="1552"/>
      <c r="P174" s="1552"/>
      <c r="AH174" s="1559">
        <v>0</v>
      </c>
    </row>
    <row r="175" spans="1:34" s="1563" customFormat="1" ht="18.75" hidden="1" customHeight="1">
      <c r="A175" s="1707" t="s">
        <v>223</v>
      </c>
      <c r="B175" s="1707" t="s">
        <v>224</v>
      </c>
      <c r="C175" s="307"/>
      <c r="D175" s="2348"/>
      <c r="E175" s="2150"/>
      <c r="F175" s="2282" t="str">
        <f>INDEX(PT_DIFFERENTIATION_VTAR,MATCH(A175,PT_DIFFERENTIATION_VTAR_ID,0))</f>
        <v>Тариф на питьевую воду (питьевое водоснабжение)</v>
      </c>
      <c r="G175" s="2323" t="str">
        <f>INDEX(PT_DIFFERENTIATION_NTAR,MATCH(B175,PT_DIFFERENTIATION_NTAR_ID,0))</f>
        <v/>
      </c>
      <c r="H175" s="1788"/>
      <c r="I175" s="1666"/>
      <c r="J175" s="1700"/>
      <c r="K175" s="1705"/>
      <c r="L175" s="1788" t="s">
        <v>304</v>
      </c>
      <c r="M175" s="279"/>
      <c r="N175" s="272"/>
      <c r="O175" s="1552"/>
      <c r="P175" s="1552"/>
      <c r="AH175" s="1559">
        <v>0</v>
      </c>
    </row>
    <row r="176" spans="1:34" s="1563" customFormat="1" ht="18.75" hidden="1" customHeight="1">
      <c r="A176" s="1707"/>
      <c r="B176" s="1707"/>
      <c r="C176" s="307" t="s">
        <v>1145</v>
      </c>
      <c r="D176" s="2348"/>
      <c r="E176" s="2150"/>
      <c r="F176" s="2282"/>
      <c r="G176" s="2323"/>
      <c r="H176" s="1428"/>
      <c r="I176" s="589" t="s">
        <v>1144</v>
      </c>
      <c r="J176" s="509"/>
      <c r="K176" s="1428"/>
      <c r="L176" s="152"/>
      <c r="M176" s="279"/>
      <c r="N176" s="272"/>
      <c r="O176" s="1552"/>
      <c r="P176" s="1552"/>
      <c r="AH176" s="1559">
        <v>0</v>
      </c>
    </row>
    <row r="177" spans="1:34" s="1563" customFormat="1" ht="0.75" hidden="1" customHeight="1">
      <c r="A177" s="1707"/>
      <c r="B177" s="1707"/>
      <c r="C177" s="307" t="s">
        <v>1152</v>
      </c>
      <c r="D177" s="2348"/>
      <c r="E177" s="2150"/>
      <c r="F177" s="2282"/>
      <c r="G177" s="338"/>
      <c r="H177" s="1428"/>
      <c r="I177" s="589"/>
      <c r="J177" s="509"/>
      <c r="K177" s="1428"/>
      <c r="L177" s="152"/>
      <c r="M177" s="279"/>
      <c r="N177" s="272"/>
      <c r="O177" s="1552"/>
      <c r="P177" s="1552"/>
      <c r="AH177" s="1559">
        <v>0</v>
      </c>
    </row>
    <row r="178" spans="1:34" s="1563" customFormat="1" ht="18.75" hidden="1" customHeight="1">
      <c r="A178" s="1707" t="s">
        <v>228</v>
      </c>
      <c r="B178" s="1707" t="s">
        <v>229</v>
      </c>
      <c r="C178" s="307"/>
      <c r="D178" s="2348"/>
      <c r="E178" s="2150"/>
      <c r="F178" s="2282" t="str">
        <f>INDEX(PT_DIFFERENTIATION_VTAR,MATCH(A178,PT_DIFFERENTIATION_VTAR_ID,0))</f>
        <v>Тариф на техническую воду</v>
      </c>
      <c r="G178" s="2323" t="str">
        <f>INDEX(PT_DIFFERENTIATION_NTAR,MATCH(B178,PT_DIFFERENTIATION_NTAR_ID,0))</f>
        <v/>
      </c>
      <c r="H178" s="1788"/>
      <c r="I178" s="1666"/>
      <c r="J178" s="1700"/>
      <c r="K178" s="1705"/>
      <c r="L178" s="1788" t="s">
        <v>304</v>
      </c>
      <c r="M178" s="279"/>
      <c r="N178" s="272"/>
      <c r="O178" s="1552"/>
      <c r="P178" s="1552"/>
      <c r="AH178" s="1559">
        <v>0</v>
      </c>
    </row>
    <row r="179" spans="1:34" s="1563" customFormat="1" ht="18.75" hidden="1" customHeight="1">
      <c r="A179" s="1707"/>
      <c r="B179" s="1707"/>
      <c r="C179" s="307" t="s">
        <v>1145</v>
      </c>
      <c r="D179" s="2348"/>
      <c r="E179" s="2150"/>
      <c r="F179" s="2282"/>
      <c r="G179" s="2323"/>
      <c r="H179" s="1428"/>
      <c r="I179" s="589" t="s">
        <v>1144</v>
      </c>
      <c r="J179" s="509"/>
      <c r="K179" s="1428"/>
      <c r="L179" s="152"/>
      <c r="M179" s="279"/>
      <c r="N179" s="272"/>
      <c r="O179" s="1552"/>
      <c r="P179" s="1552"/>
      <c r="AH179" s="1559">
        <v>0</v>
      </c>
    </row>
    <row r="180" spans="1:34" s="1563" customFormat="1" ht="0.75" hidden="1" customHeight="1">
      <c r="A180" s="1707"/>
      <c r="B180" s="1707"/>
      <c r="C180" s="307" t="s">
        <v>1152</v>
      </c>
      <c r="D180" s="2348"/>
      <c r="E180" s="2150"/>
      <c r="F180" s="2282"/>
      <c r="G180" s="338"/>
      <c r="H180" s="1428"/>
      <c r="I180" s="589"/>
      <c r="J180" s="509"/>
      <c r="K180" s="1428"/>
      <c r="L180" s="152"/>
      <c r="M180" s="279"/>
      <c r="N180" s="272"/>
      <c r="O180" s="1552"/>
      <c r="P180" s="1552"/>
      <c r="AH180" s="1559">
        <v>0</v>
      </c>
    </row>
    <row r="181" spans="1:34" s="1563" customFormat="1" ht="18.75" hidden="1" customHeight="1">
      <c r="A181" s="1707" t="s">
        <v>233</v>
      </c>
      <c r="B181" s="1707" t="s">
        <v>234</v>
      </c>
      <c r="C181" s="307"/>
      <c r="D181" s="2348"/>
      <c r="E181" s="2150"/>
      <c r="F181" s="2282" t="str">
        <f>INDEX(PT_DIFFERENTIATION_VTAR,MATCH(A181,PT_DIFFERENTIATION_VTAR_ID,0))</f>
        <v>Тариф на транспортировку воды</v>
      </c>
      <c r="G181" s="2323" t="str">
        <f>INDEX(PT_DIFFERENTIATION_NTAR,MATCH(B181,PT_DIFFERENTIATION_NTAR_ID,0))</f>
        <v/>
      </c>
      <c r="H181" s="1788"/>
      <c r="I181" s="1666"/>
      <c r="J181" s="1700"/>
      <c r="K181" s="1705"/>
      <c r="L181" s="1788" t="s">
        <v>304</v>
      </c>
      <c r="M181" s="279"/>
      <c r="N181" s="272"/>
      <c r="O181" s="1552"/>
      <c r="P181" s="1552"/>
      <c r="AH181" s="1559">
        <v>0</v>
      </c>
    </row>
    <row r="182" spans="1:34" s="1563" customFormat="1" ht="18.75" hidden="1" customHeight="1">
      <c r="A182" s="1707"/>
      <c r="B182" s="1707"/>
      <c r="C182" s="307" t="s">
        <v>1145</v>
      </c>
      <c r="D182" s="2348"/>
      <c r="E182" s="2150"/>
      <c r="F182" s="2282"/>
      <c r="G182" s="2323"/>
      <c r="H182" s="1428"/>
      <c r="I182" s="589" t="s">
        <v>1144</v>
      </c>
      <c r="J182" s="509"/>
      <c r="K182" s="1428"/>
      <c r="L182" s="152"/>
      <c r="M182" s="279"/>
      <c r="N182" s="272"/>
      <c r="O182" s="1552"/>
      <c r="P182" s="1552"/>
      <c r="AH182" s="1559">
        <v>0</v>
      </c>
    </row>
    <row r="183" spans="1:34" s="1563" customFormat="1" ht="0.75" hidden="1" customHeight="1">
      <c r="A183" s="1707"/>
      <c r="B183" s="1707"/>
      <c r="C183" s="307" t="s">
        <v>1152</v>
      </c>
      <c r="D183" s="2348"/>
      <c r="E183" s="2150"/>
      <c r="F183" s="2282"/>
      <c r="G183" s="338"/>
      <c r="H183" s="1428"/>
      <c r="I183" s="589"/>
      <c r="J183" s="509"/>
      <c r="K183" s="1428"/>
      <c r="L183" s="152"/>
      <c r="M183" s="279"/>
      <c r="N183" s="272"/>
      <c r="O183" s="1552"/>
      <c r="P183" s="1552"/>
      <c r="AH183" s="1559">
        <v>0</v>
      </c>
    </row>
    <row r="184" spans="1:34" s="1563" customFormat="1" ht="18.75" hidden="1" customHeight="1">
      <c r="A184" s="1707" t="s">
        <v>238</v>
      </c>
      <c r="B184" s="1707" t="s">
        <v>239</v>
      </c>
      <c r="C184" s="307"/>
      <c r="D184" s="2348"/>
      <c r="E184" s="2150"/>
      <c r="F184" s="2282" t="str">
        <f>INDEX(PT_DIFFERENTIATION_VTAR,MATCH(A184,PT_DIFFERENTIATION_VTAR_ID,0))</f>
        <v>Тариф на подвоз воды</v>
      </c>
      <c r="G184" s="2323" t="str">
        <f>INDEX(PT_DIFFERENTIATION_NTAR,MATCH(B184,PT_DIFFERENTIATION_NTAR_ID,0))</f>
        <v/>
      </c>
      <c r="H184" s="1788"/>
      <c r="I184" s="1666"/>
      <c r="J184" s="1700"/>
      <c r="K184" s="1705"/>
      <c r="L184" s="1788" t="s">
        <v>304</v>
      </c>
      <c r="M184" s="279"/>
      <c r="N184" s="272"/>
      <c r="O184" s="1552"/>
      <c r="P184" s="1552"/>
      <c r="AH184" s="1559">
        <v>0</v>
      </c>
    </row>
    <row r="185" spans="1:34" s="1563" customFormat="1" ht="18.75" hidden="1" customHeight="1">
      <c r="A185" s="1707"/>
      <c r="B185" s="1707"/>
      <c r="C185" s="307" t="s">
        <v>1145</v>
      </c>
      <c r="D185" s="2348"/>
      <c r="E185" s="2150"/>
      <c r="F185" s="2282"/>
      <c r="G185" s="2323"/>
      <c r="H185" s="1428"/>
      <c r="I185" s="589" t="s">
        <v>1144</v>
      </c>
      <c r="J185" s="509"/>
      <c r="K185" s="1428"/>
      <c r="L185" s="152"/>
      <c r="M185" s="279"/>
      <c r="N185" s="272"/>
      <c r="O185" s="1552"/>
      <c r="P185" s="1552"/>
      <c r="AH185" s="1559">
        <v>0</v>
      </c>
    </row>
    <row r="186" spans="1:34" s="1563" customFormat="1" ht="0.75" hidden="1" customHeight="1">
      <c r="A186" s="1707"/>
      <c r="B186" s="1707"/>
      <c r="C186" s="307" t="s">
        <v>1152</v>
      </c>
      <c r="D186" s="2348"/>
      <c r="E186" s="2150"/>
      <c r="F186" s="2282"/>
      <c r="G186" s="338"/>
      <c r="H186" s="1428"/>
      <c r="I186" s="589"/>
      <c r="J186" s="509"/>
      <c r="K186" s="1428"/>
      <c r="L186" s="152"/>
      <c r="M186" s="279"/>
      <c r="N186" s="272"/>
      <c r="O186" s="1552"/>
      <c r="P186" s="1552"/>
      <c r="AH186" s="1559">
        <v>0</v>
      </c>
    </row>
    <row r="187" spans="1:34" s="1563" customFormat="1" ht="18.75" hidden="1" customHeight="1">
      <c r="A187" s="1707" t="s">
        <v>243</v>
      </c>
      <c r="B187" s="1707" t="s">
        <v>244</v>
      </c>
      <c r="C187" s="307"/>
      <c r="D187" s="2348"/>
      <c r="E187" s="2150"/>
      <c r="F187" s="228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3" t="str">
        <f>INDEX(PT_DIFFERENTIATION_NTAR,MATCH(B187,PT_DIFFERENTIATION_NTAR_ID,0))</f>
        <v/>
      </c>
      <c r="H187" s="1788"/>
      <c r="I187" s="1666"/>
      <c r="J187" s="1700"/>
      <c r="K187" s="1705"/>
      <c r="L187" s="1788" t="s">
        <v>304</v>
      </c>
      <c r="M187" s="279"/>
      <c r="N187" s="272"/>
      <c r="O187" s="1552"/>
      <c r="P187" s="1552"/>
      <c r="AH187" s="1559">
        <v>0</v>
      </c>
    </row>
    <row r="188" spans="1:34" s="1563" customFormat="1" ht="18.75" hidden="1" customHeight="1">
      <c r="A188" s="1707"/>
      <c r="B188" s="1707"/>
      <c r="C188" s="307" t="s">
        <v>1145</v>
      </c>
      <c r="D188" s="2348"/>
      <c r="E188" s="2150"/>
      <c r="F188" s="2282"/>
      <c r="G188" s="2323"/>
      <c r="H188" s="1428"/>
      <c r="I188" s="589" t="s">
        <v>1144</v>
      </c>
      <c r="J188" s="509"/>
      <c r="K188" s="1428"/>
      <c r="L188" s="152"/>
      <c r="M188" s="279"/>
      <c r="N188" s="272"/>
      <c r="O188" s="1552"/>
      <c r="P188" s="1552"/>
      <c r="AH188" s="1559">
        <v>0</v>
      </c>
    </row>
    <row r="189" spans="1:34" s="1563" customFormat="1" ht="0.75" hidden="1" customHeight="1">
      <c r="A189" s="1707"/>
      <c r="B189" s="1707"/>
      <c r="C189" s="307" t="s">
        <v>1152</v>
      </c>
      <c r="D189" s="2348"/>
      <c r="E189" s="2150"/>
      <c r="F189" s="2282"/>
      <c r="G189" s="338"/>
      <c r="H189" s="1428"/>
      <c r="I189" s="589"/>
      <c r="J189" s="509"/>
      <c r="K189" s="1428"/>
      <c r="L189" s="152"/>
      <c r="M189" s="279"/>
      <c r="N189" s="272"/>
      <c r="O189" s="1552"/>
      <c r="P189" s="1552"/>
      <c r="AH189" s="1559">
        <v>0</v>
      </c>
    </row>
    <row r="190" spans="1:34" s="1563" customFormat="1" ht="18.75" hidden="1" customHeight="1">
      <c r="A190" s="1707" t="s">
        <v>248</v>
      </c>
      <c r="B190" s="1707" t="s">
        <v>249</v>
      </c>
      <c r="C190" s="307"/>
      <c r="D190" s="2348"/>
      <c r="E190" s="2150"/>
      <c r="F190" s="2282" t="str">
        <f>INDEX(PT_DIFFERENTIATION_VTAR,MATCH(A190,PT_DIFFERENTIATION_VTAR_ID,0))</f>
        <v>Тариф на горячую воду (горячее водоснабжение)</v>
      </c>
      <c r="G190" s="2323" t="str">
        <f>INDEX(PT_DIFFERENTIATION_NTAR,MATCH(B190,PT_DIFFERENTIATION_NTAR_ID,0))</f>
        <v/>
      </c>
      <c r="H190" s="1788"/>
      <c r="I190" s="1666"/>
      <c r="J190" s="1700"/>
      <c r="K190" s="1705"/>
      <c r="L190" s="1788" t="s">
        <v>304</v>
      </c>
      <c r="M190" s="279"/>
      <c r="N190" s="272"/>
      <c r="O190" s="1552"/>
      <c r="P190" s="1552"/>
      <c r="AH190" s="1559">
        <v>0</v>
      </c>
    </row>
    <row r="191" spans="1:34" s="1563" customFormat="1" ht="18.75" hidden="1" customHeight="1">
      <c r="A191" s="1707"/>
      <c r="B191" s="1707"/>
      <c r="C191" s="307" t="s">
        <v>1145</v>
      </c>
      <c r="D191" s="2348"/>
      <c r="E191" s="2150"/>
      <c r="F191" s="2282"/>
      <c r="G191" s="2323"/>
      <c r="H191" s="1428"/>
      <c r="I191" s="589" t="s">
        <v>1144</v>
      </c>
      <c r="J191" s="509"/>
      <c r="K191" s="1428"/>
      <c r="L191" s="152"/>
      <c r="M191" s="279"/>
      <c r="N191" s="272"/>
      <c r="O191" s="1552"/>
      <c r="P191" s="1552"/>
      <c r="AH191" s="1559">
        <v>0</v>
      </c>
    </row>
    <row r="192" spans="1:34" s="1563" customFormat="1" ht="0.75" hidden="1" customHeight="1">
      <c r="A192" s="1707"/>
      <c r="B192" s="1707"/>
      <c r="C192" s="307" t="s">
        <v>1152</v>
      </c>
      <c r="D192" s="2348"/>
      <c r="E192" s="2150"/>
      <c r="F192" s="2282"/>
      <c r="G192" s="338"/>
      <c r="H192" s="1428"/>
      <c r="I192" s="589"/>
      <c r="J192" s="509"/>
      <c r="K192" s="1428"/>
      <c r="L192" s="152"/>
      <c r="M192" s="279"/>
      <c r="N192" s="272"/>
      <c r="O192" s="1552"/>
      <c r="P192" s="1552"/>
      <c r="AH192" s="1559">
        <v>0</v>
      </c>
    </row>
    <row r="193" spans="1:34" s="1563" customFormat="1" ht="18.75" hidden="1" customHeight="1">
      <c r="A193" s="1707" t="s">
        <v>253</v>
      </c>
      <c r="B193" s="1707" t="s">
        <v>254</v>
      </c>
      <c r="C193" s="307"/>
      <c r="D193" s="2348"/>
      <c r="E193" s="2150"/>
      <c r="F193" s="2282" t="str">
        <f>INDEX(PT_DIFFERENTIATION_VTAR,MATCH(A193,PT_DIFFERENTIATION_VTAR_ID,0))</f>
        <v>Тариф на транспортировку горячей воды</v>
      </c>
      <c r="G193" s="2323" t="str">
        <f>INDEX(PT_DIFFERENTIATION_NTAR,MATCH(B193,PT_DIFFERENTIATION_NTAR_ID,0))</f>
        <v/>
      </c>
      <c r="H193" s="1788"/>
      <c r="I193" s="1666"/>
      <c r="J193" s="1700"/>
      <c r="K193" s="1705"/>
      <c r="L193" s="1788" t="s">
        <v>304</v>
      </c>
      <c r="M193" s="279"/>
      <c r="N193" s="272"/>
      <c r="O193" s="1552"/>
      <c r="P193" s="1552"/>
      <c r="AH193" s="1559">
        <v>0</v>
      </c>
    </row>
    <row r="194" spans="1:34" s="1563" customFormat="1" ht="18.75" hidden="1" customHeight="1">
      <c r="A194" s="1707"/>
      <c r="B194" s="1707"/>
      <c r="C194" s="307" t="s">
        <v>1145</v>
      </c>
      <c r="D194" s="2348"/>
      <c r="E194" s="2150"/>
      <c r="F194" s="2282"/>
      <c r="G194" s="2323"/>
      <c r="H194" s="1428"/>
      <c r="I194" s="589" t="s">
        <v>1144</v>
      </c>
      <c r="J194" s="509"/>
      <c r="K194" s="1428"/>
      <c r="L194" s="152"/>
      <c r="M194" s="279"/>
      <c r="N194" s="272"/>
      <c r="O194" s="1552"/>
      <c r="P194" s="1552"/>
      <c r="AH194" s="1559">
        <v>0</v>
      </c>
    </row>
    <row r="195" spans="1:34" s="1563" customFormat="1" ht="0.75" hidden="1" customHeight="1">
      <c r="A195" s="1707"/>
      <c r="B195" s="1707"/>
      <c r="C195" s="307" t="s">
        <v>1152</v>
      </c>
      <c r="D195" s="2348"/>
      <c r="E195" s="2150"/>
      <c r="F195" s="2282"/>
      <c r="G195" s="338"/>
      <c r="H195" s="1428"/>
      <c r="I195" s="589"/>
      <c r="J195" s="509"/>
      <c r="K195" s="1428"/>
      <c r="L195" s="152"/>
      <c r="M195" s="279"/>
      <c r="N195" s="272"/>
      <c r="O195" s="1552"/>
      <c r="P195" s="1552"/>
      <c r="AH195" s="1559">
        <v>0</v>
      </c>
    </row>
    <row r="196" spans="1:34" s="1563" customFormat="1" ht="18.75" hidden="1" customHeight="1">
      <c r="A196" s="1707" t="s">
        <v>258</v>
      </c>
      <c r="B196" s="1707" t="s">
        <v>259</v>
      </c>
      <c r="C196" s="307"/>
      <c r="D196" s="2348"/>
      <c r="E196" s="2150"/>
      <c r="F196" s="2282"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3" t="str">
        <f>INDEX(PT_DIFFERENTIATION_NTAR,MATCH(B196,PT_DIFFERENTIATION_NTAR_ID,0))</f>
        <v/>
      </c>
      <c r="H196" s="1788"/>
      <c r="I196" s="1666"/>
      <c r="J196" s="1700"/>
      <c r="K196" s="1705"/>
      <c r="L196" s="1788" t="s">
        <v>304</v>
      </c>
      <c r="M196" s="279"/>
      <c r="N196" s="272"/>
      <c r="O196" s="1552"/>
      <c r="P196" s="1552"/>
      <c r="AH196" s="1559">
        <v>0</v>
      </c>
    </row>
    <row r="197" spans="1:34" s="1563" customFormat="1" ht="18.75" hidden="1" customHeight="1">
      <c r="A197" s="1707"/>
      <c r="B197" s="1707"/>
      <c r="C197" s="307" t="s">
        <v>1145</v>
      </c>
      <c r="D197" s="2348"/>
      <c r="E197" s="2150"/>
      <c r="F197" s="2282"/>
      <c r="G197" s="2323"/>
      <c r="H197" s="1428"/>
      <c r="I197" s="589" t="s">
        <v>1144</v>
      </c>
      <c r="J197" s="509"/>
      <c r="K197" s="1428"/>
      <c r="L197" s="152"/>
      <c r="M197" s="279"/>
      <c r="N197" s="272"/>
      <c r="O197" s="1552"/>
      <c r="P197" s="1552"/>
      <c r="AH197" s="1559">
        <v>0</v>
      </c>
    </row>
    <row r="198" spans="1:34" s="1563" customFormat="1" ht="0.75" hidden="1" customHeight="1">
      <c r="A198" s="1707"/>
      <c r="B198" s="1707"/>
      <c r="C198" s="307" t="s">
        <v>1152</v>
      </c>
      <c r="D198" s="2348"/>
      <c r="E198" s="2150"/>
      <c r="F198" s="2282"/>
      <c r="G198" s="338"/>
      <c r="H198" s="1428"/>
      <c r="I198" s="589"/>
      <c r="J198" s="509"/>
      <c r="K198" s="1428"/>
      <c r="L198" s="152"/>
      <c r="M198" s="279"/>
      <c r="N198" s="272"/>
      <c r="O198" s="1552"/>
      <c r="P198" s="1552"/>
      <c r="AH198" s="1559">
        <v>0</v>
      </c>
    </row>
    <row r="199" spans="1:34" s="1563" customFormat="1" ht="18.75" hidden="1" customHeight="1">
      <c r="A199" s="1707" t="s">
        <v>263</v>
      </c>
      <c r="B199" s="1707" t="s">
        <v>264</v>
      </c>
      <c r="C199" s="307"/>
      <c r="D199" s="2348"/>
      <c r="E199" s="2150"/>
      <c r="F199" s="2282" t="str">
        <f>INDEX(PT_DIFFERENTIATION_VTAR,MATCH(A199,PT_DIFFERENTIATION_VTAR_ID,0))</f>
        <v>Тариф на водоотведение</v>
      </c>
      <c r="G199" s="2323" t="str">
        <f>INDEX(PT_DIFFERENTIATION_NTAR,MATCH(B199,PT_DIFFERENTIATION_NTAR_ID,0))</f>
        <v/>
      </c>
      <c r="H199" s="1788"/>
      <c r="I199" s="1666"/>
      <c r="J199" s="1700"/>
      <c r="K199" s="1705"/>
      <c r="L199" s="1788" t="s">
        <v>304</v>
      </c>
      <c r="M199" s="279"/>
      <c r="N199" s="272"/>
      <c r="O199" s="1552"/>
      <c r="P199" s="1552"/>
      <c r="AH199" s="1559">
        <v>0</v>
      </c>
    </row>
    <row r="200" spans="1:34" s="1563" customFormat="1" ht="18.75" hidden="1" customHeight="1">
      <c r="A200" s="1707"/>
      <c r="B200" s="1707"/>
      <c r="C200" s="307" t="s">
        <v>1145</v>
      </c>
      <c r="D200" s="2348"/>
      <c r="E200" s="2150"/>
      <c r="F200" s="2282"/>
      <c r="G200" s="2323"/>
      <c r="H200" s="1428"/>
      <c r="I200" s="589" t="s">
        <v>1144</v>
      </c>
      <c r="J200" s="509"/>
      <c r="K200" s="1428"/>
      <c r="L200" s="152"/>
      <c r="M200" s="279"/>
      <c r="N200" s="272"/>
      <c r="O200" s="1552"/>
      <c r="P200" s="1552"/>
      <c r="AH200" s="1559">
        <v>0</v>
      </c>
    </row>
    <row r="201" spans="1:34" s="1563" customFormat="1" ht="0.75" hidden="1" customHeight="1">
      <c r="A201" s="1707"/>
      <c r="B201" s="1707"/>
      <c r="C201" s="307" t="s">
        <v>1152</v>
      </c>
      <c r="D201" s="2348"/>
      <c r="E201" s="2150"/>
      <c r="F201" s="2282"/>
      <c r="G201" s="338"/>
      <c r="H201" s="1428"/>
      <c r="I201" s="589"/>
      <c r="J201" s="509"/>
      <c r="K201" s="1428"/>
      <c r="L201" s="152"/>
      <c r="M201" s="279"/>
      <c r="N201" s="272"/>
      <c r="O201" s="1552"/>
      <c r="P201" s="1552"/>
      <c r="AH201" s="1559">
        <v>0</v>
      </c>
    </row>
    <row r="202" spans="1:34" s="1563" customFormat="1" ht="18.75" hidden="1" customHeight="1">
      <c r="A202" s="1707" t="s">
        <v>268</v>
      </c>
      <c r="B202" s="1707" t="s">
        <v>269</v>
      </c>
      <c r="C202" s="307"/>
      <c r="D202" s="2348"/>
      <c r="E202" s="2150"/>
      <c r="F202" s="2282" t="str">
        <f>INDEX(PT_DIFFERENTIATION_VTAR,MATCH(A202,PT_DIFFERENTIATION_VTAR_ID,0))</f>
        <v>Тариф на транспортировку сточных вод</v>
      </c>
      <c r="G202" s="2323" t="str">
        <f>INDEX(PT_DIFFERENTIATION_NTAR,MATCH(B202,PT_DIFFERENTIATION_NTAR_ID,0))</f>
        <v/>
      </c>
      <c r="H202" s="1788"/>
      <c r="I202" s="1666"/>
      <c r="J202" s="1700"/>
      <c r="K202" s="1705"/>
      <c r="L202" s="1788" t="s">
        <v>304</v>
      </c>
      <c r="M202" s="279"/>
      <c r="N202" s="272"/>
      <c r="O202" s="1552"/>
      <c r="P202" s="1552"/>
      <c r="AH202" s="1559">
        <v>0</v>
      </c>
    </row>
    <row r="203" spans="1:34" s="1563" customFormat="1" ht="18.75" hidden="1" customHeight="1">
      <c r="A203" s="1707"/>
      <c r="B203" s="1707"/>
      <c r="C203" s="307" t="s">
        <v>1145</v>
      </c>
      <c r="D203" s="2348"/>
      <c r="E203" s="2150"/>
      <c r="F203" s="2282"/>
      <c r="G203" s="2323"/>
      <c r="H203" s="1428"/>
      <c r="I203" s="589" t="s">
        <v>1144</v>
      </c>
      <c r="J203" s="509"/>
      <c r="K203" s="1428"/>
      <c r="L203" s="152"/>
      <c r="M203" s="279"/>
      <c r="N203" s="272"/>
      <c r="O203" s="1552"/>
      <c r="P203" s="1552"/>
      <c r="AH203" s="1559">
        <v>0</v>
      </c>
    </row>
    <row r="204" spans="1:34" s="1563" customFormat="1" ht="0.75" hidden="1" customHeight="1">
      <c r="A204" s="1707"/>
      <c r="B204" s="1707"/>
      <c r="C204" s="307" t="s">
        <v>1152</v>
      </c>
      <c r="D204" s="2348"/>
      <c r="E204" s="2150"/>
      <c r="F204" s="2282"/>
      <c r="G204" s="338"/>
      <c r="H204" s="1428"/>
      <c r="I204" s="589"/>
      <c r="J204" s="509"/>
      <c r="K204" s="1428"/>
      <c r="L204" s="152"/>
      <c r="M204" s="279"/>
      <c r="N204" s="272"/>
      <c r="O204" s="1552"/>
      <c r="P204" s="1552"/>
      <c r="AH204" s="1559">
        <v>0</v>
      </c>
    </row>
    <row r="205" spans="1:34" s="1563" customFormat="1" ht="18.75" hidden="1" customHeight="1">
      <c r="A205" s="1707" t="s">
        <v>273</v>
      </c>
      <c r="B205" s="1707" t="s">
        <v>274</v>
      </c>
      <c r="C205" s="307"/>
      <c r="D205" s="2348"/>
      <c r="E205" s="2150"/>
      <c r="F205" s="2282" t="str">
        <f>INDEX(PT_DIFFERENTIATION_VTAR,MATCH(A205,PT_DIFFERENTIATION_VTAR_ID,0))</f>
        <v>Тариф на подключение (технологическое присоединение) к централизованной системе водоотведения</v>
      </c>
      <c r="G205" s="2323" t="str">
        <f>INDEX(PT_DIFFERENTIATION_NTAR,MATCH(B205,PT_DIFFERENTIATION_NTAR_ID,0))</f>
        <v/>
      </c>
      <c r="H205" s="1788"/>
      <c r="I205" s="1666"/>
      <c r="J205" s="1700"/>
      <c r="K205" s="1705"/>
      <c r="L205" s="1788" t="s">
        <v>304</v>
      </c>
      <c r="M205" s="279"/>
      <c r="N205" s="272"/>
      <c r="O205" s="1552"/>
      <c r="P205" s="1552"/>
      <c r="AH205" s="1559">
        <v>0</v>
      </c>
    </row>
    <row r="206" spans="1:34" s="1563" customFormat="1" ht="18.75" hidden="1" customHeight="1">
      <c r="A206" s="1707"/>
      <c r="B206" s="1707"/>
      <c r="C206" s="307" t="s">
        <v>1145</v>
      </c>
      <c r="D206" s="2348"/>
      <c r="E206" s="2150"/>
      <c r="F206" s="2282"/>
      <c r="G206" s="2323"/>
      <c r="H206" s="1428"/>
      <c r="I206" s="589" t="s">
        <v>1144</v>
      </c>
      <c r="J206" s="509"/>
      <c r="K206" s="1428"/>
      <c r="L206" s="152"/>
      <c r="M206" s="279"/>
      <c r="N206" s="272"/>
      <c r="O206" s="1552"/>
      <c r="P206" s="1552"/>
      <c r="AH206" s="1559">
        <v>0</v>
      </c>
    </row>
    <row r="207" spans="1:34" s="1563" customFormat="1" ht="1.1499999999999999" customHeight="1">
      <c r="A207" s="1707"/>
      <c r="B207" s="1707"/>
      <c r="C207" s="307" t="s">
        <v>1152</v>
      </c>
      <c r="D207" s="2348"/>
      <c r="E207" s="2150"/>
      <c r="F207" s="2282"/>
      <c r="G207" s="338"/>
      <c r="H207" s="1428"/>
      <c r="I207" s="589"/>
      <c r="J207" s="509"/>
      <c r="K207" s="1428"/>
      <c r="L207" s="152"/>
      <c r="M207" s="279"/>
      <c r="N207" s="272"/>
      <c r="O207" s="1552"/>
      <c r="P207" s="1552"/>
      <c r="AH207" s="1559">
        <v>1</v>
      </c>
    </row>
    <row r="208" spans="1:34" ht="27.4" customHeight="1">
      <c r="A208" s="1707"/>
      <c r="B208" s="1707"/>
      <c r="D208" s="314"/>
      <c r="E208" s="85" t="s">
        <v>110</v>
      </c>
      <c r="F208" s="234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47"/>
      <c r="H208" s="2347"/>
      <c r="I208" s="2347"/>
      <c r="J208" s="2347"/>
      <c r="K208" s="2347"/>
      <c r="L208" s="2347"/>
      <c r="M208" s="235"/>
      <c r="N208" s="272"/>
      <c r="AH208" s="312">
        <v>26</v>
      </c>
    </row>
    <row r="209" spans="1:34" s="1563" customFormat="1" ht="60.75" hidden="1" customHeight="1">
      <c r="A209" s="1707" t="s">
        <v>155</v>
      </c>
      <c r="B209" s="1707" t="s">
        <v>156</v>
      </c>
      <c r="C209" s="307"/>
      <c r="D209" s="2348"/>
      <c r="E209" s="2150"/>
      <c r="F209" s="228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3" t="str">
        <f>INDEX(PT_DIFFERENTIATION_NTAR,MATCH(B209,PT_DIFFERENTIATION_NTAR_ID,0))</f>
        <v/>
      </c>
      <c r="H209" s="1788"/>
      <c r="I209" s="1666"/>
      <c r="J209" s="1700"/>
      <c r="K209" s="1705"/>
      <c r="L209" s="1788" t="s">
        <v>304</v>
      </c>
      <c r="M209"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2"/>
      <c r="O209" s="1552"/>
      <c r="P209" s="1552"/>
      <c r="AH209" s="1559">
        <v>0</v>
      </c>
    </row>
    <row r="210" spans="1:34" s="1563" customFormat="1" ht="18.75" hidden="1" customHeight="1">
      <c r="A210" s="1707"/>
      <c r="B210" s="1707"/>
      <c r="C210" s="307" t="s">
        <v>1145</v>
      </c>
      <c r="D210" s="2348"/>
      <c r="E210" s="2150"/>
      <c r="F210" s="2282"/>
      <c r="G210" s="2323"/>
      <c r="H210" s="1428"/>
      <c r="I210" s="589" t="s">
        <v>1144</v>
      </c>
      <c r="J210" s="509"/>
      <c r="K210" s="1428"/>
      <c r="L210" s="152"/>
      <c r="M210" s="2111"/>
      <c r="N210" s="272"/>
      <c r="O210" s="1552"/>
      <c r="P210" s="1552"/>
      <c r="AH210" s="1559">
        <v>0</v>
      </c>
    </row>
    <row r="211" spans="1:34" s="1563" customFormat="1" ht="0.75" hidden="1" customHeight="1">
      <c r="A211" s="1707"/>
      <c r="B211" s="1707"/>
      <c r="C211" s="307" t="s">
        <v>1152</v>
      </c>
      <c r="D211" s="2348"/>
      <c r="E211" s="2150"/>
      <c r="F211" s="2282"/>
      <c r="G211" s="338"/>
      <c r="H211" s="1428"/>
      <c r="I211" s="589"/>
      <c r="J211" s="509"/>
      <c r="K211" s="1428"/>
      <c r="L211" s="152"/>
      <c r="M211" s="2111"/>
      <c r="N211" s="272"/>
      <c r="O211" s="1552"/>
      <c r="P211" s="1552"/>
      <c r="AH211" s="1559">
        <v>0</v>
      </c>
    </row>
    <row r="212" spans="1:34" s="1563" customFormat="1" ht="45" hidden="1" customHeight="1">
      <c r="A212" s="1707" t="s">
        <v>160</v>
      </c>
      <c r="B212" s="1707" t="s">
        <v>161</v>
      </c>
      <c r="C212" s="307"/>
      <c r="D212" s="2348"/>
      <c r="E212" s="2150"/>
      <c r="F212" s="2282" t="str">
        <f>INDEX(PT_DIFFERENTIATION_VTAR,MATCH(A212,PT_DIFFERENTIATION_VTAR_ID,0))</f>
        <v/>
      </c>
      <c r="G212" s="2323" t="str">
        <f>INDEX(PT_DIFFERENTIATION_NTAR,MATCH(B212,PT_DIFFERENTIATION_NTAR_ID,0))</f>
        <v/>
      </c>
      <c r="H212" s="1788"/>
      <c r="I212" s="1666"/>
      <c r="J212" s="1700"/>
      <c r="K212" s="1705"/>
      <c r="L212" s="1788" t="s">
        <v>304</v>
      </c>
      <c r="M212" s="2112"/>
      <c r="N212" s="272"/>
      <c r="O212" s="1552"/>
      <c r="P212" s="1552"/>
      <c r="AH212" s="1559">
        <v>0</v>
      </c>
    </row>
    <row r="213" spans="1:34" s="1563" customFormat="1" ht="18.75" hidden="1" customHeight="1">
      <c r="A213" s="1707"/>
      <c r="B213" s="1707"/>
      <c r="C213" s="307" t="s">
        <v>1145</v>
      </c>
      <c r="D213" s="2348"/>
      <c r="E213" s="2150"/>
      <c r="F213" s="2282"/>
      <c r="G213" s="2323"/>
      <c r="H213" s="1428"/>
      <c r="I213" s="589" t="s">
        <v>1144</v>
      </c>
      <c r="J213" s="509"/>
      <c r="K213" s="1428"/>
      <c r="L213" s="152"/>
      <c r="M213" s="1787"/>
      <c r="N213" s="272"/>
      <c r="O213" s="1552"/>
      <c r="P213" s="1552"/>
      <c r="AH213" s="1559">
        <v>0</v>
      </c>
    </row>
    <row r="214" spans="1:34" s="1563" customFormat="1" ht="0.75" hidden="1" customHeight="1">
      <c r="A214" s="1707"/>
      <c r="B214" s="1707"/>
      <c r="C214" s="307" t="s">
        <v>1152</v>
      </c>
      <c r="D214" s="2348"/>
      <c r="E214" s="2150"/>
      <c r="F214" s="2282"/>
      <c r="G214" s="338"/>
      <c r="H214" s="1428"/>
      <c r="I214" s="589"/>
      <c r="J214" s="509"/>
      <c r="K214" s="1428"/>
      <c r="L214" s="152"/>
      <c r="M214" s="279"/>
      <c r="N214" s="272"/>
      <c r="O214" s="1552"/>
      <c r="P214" s="1552"/>
      <c r="AH214" s="1559">
        <v>0</v>
      </c>
    </row>
    <row r="215" spans="1:34" s="1563" customFormat="1" ht="45" hidden="1" customHeight="1">
      <c r="A215" s="1707" t="s">
        <v>167</v>
      </c>
      <c r="B215" s="1707" t="s">
        <v>168</v>
      </c>
      <c r="C215" s="307"/>
      <c r="D215" s="2348"/>
      <c r="E215" s="2150"/>
      <c r="F215" s="228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3" t="str">
        <f>INDEX(PT_DIFFERENTIATION_NTAR,MATCH(B215,PT_DIFFERENTIATION_NTAR_ID,0))</f>
        <v/>
      </c>
      <c r="H215" s="1788"/>
      <c r="I215" s="1666"/>
      <c r="J215" s="1700"/>
      <c r="K215" s="1705"/>
      <c r="L215" s="1788" t="s">
        <v>304</v>
      </c>
      <c r="M215" s="279"/>
      <c r="N215" s="272"/>
      <c r="O215" s="1552"/>
      <c r="P215" s="1552"/>
      <c r="AH215" s="1559">
        <v>0</v>
      </c>
    </row>
    <row r="216" spans="1:34" s="1563" customFormat="1" ht="18.75" hidden="1" customHeight="1">
      <c r="A216" s="1707"/>
      <c r="B216" s="1707"/>
      <c r="C216" s="307" t="s">
        <v>1145</v>
      </c>
      <c r="D216" s="2348"/>
      <c r="E216" s="2150"/>
      <c r="F216" s="2282"/>
      <c r="G216" s="2323"/>
      <c r="H216" s="1428"/>
      <c r="I216" s="589" t="s">
        <v>1144</v>
      </c>
      <c r="J216" s="509"/>
      <c r="K216" s="1428"/>
      <c r="L216" s="152"/>
      <c r="M216" s="279"/>
      <c r="N216" s="272"/>
      <c r="O216" s="1552"/>
      <c r="P216" s="1552"/>
      <c r="AH216" s="1559">
        <v>0</v>
      </c>
    </row>
    <row r="217" spans="1:34" s="1563" customFormat="1" ht="0.75" hidden="1" customHeight="1">
      <c r="A217" s="1707"/>
      <c r="B217" s="1707"/>
      <c r="C217" s="307" t="s">
        <v>1152</v>
      </c>
      <c r="D217" s="2348"/>
      <c r="E217" s="2150"/>
      <c r="F217" s="2282"/>
      <c r="G217" s="338"/>
      <c r="H217" s="1428"/>
      <c r="I217" s="589"/>
      <c r="J217" s="509"/>
      <c r="K217" s="1428"/>
      <c r="L217" s="152"/>
      <c r="M217" s="279"/>
      <c r="N217" s="272"/>
      <c r="O217" s="1552"/>
      <c r="P217" s="1552"/>
      <c r="AH217" s="1559">
        <v>0</v>
      </c>
    </row>
    <row r="218" spans="1:34" s="1563" customFormat="1" ht="45" hidden="1" customHeight="1">
      <c r="A218" s="1707" t="s">
        <v>173</v>
      </c>
      <c r="B218" s="1707" t="s">
        <v>174</v>
      </c>
      <c r="C218" s="307"/>
      <c r="D218" s="2348"/>
      <c r="E218" s="2150"/>
      <c r="F218" s="228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3" t="str">
        <f>INDEX(PT_DIFFERENTIATION_NTAR,MATCH(B218,PT_DIFFERENTIATION_NTAR_ID,0))</f>
        <v/>
      </c>
      <c r="H218" s="1788"/>
      <c r="I218" s="1666"/>
      <c r="J218" s="1700"/>
      <c r="K218" s="1705"/>
      <c r="L218" s="1788" t="s">
        <v>304</v>
      </c>
      <c r="M218" s="279"/>
      <c r="N218" s="272"/>
      <c r="O218" s="1552"/>
      <c r="P218" s="1552"/>
      <c r="AH218" s="1559">
        <v>0</v>
      </c>
    </row>
    <row r="219" spans="1:34" s="1563" customFormat="1" ht="18.75" hidden="1" customHeight="1">
      <c r="A219" s="1707"/>
      <c r="B219" s="1707"/>
      <c r="C219" s="307" t="s">
        <v>1145</v>
      </c>
      <c r="D219" s="2348"/>
      <c r="E219" s="2150"/>
      <c r="F219" s="2282"/>
      <c r="G219" s="2323"/>
      <c r="H219" s="1428"/>
      <c r="I219" s="589" t="s">
        <v>1144</v>
      </c>
      <c r="J219" s="509"/>
      <c r="K219" s="1428"/>
      <c r="L219" s="152"/>
      <c r="M219" s="279"/>
      <c r="N219" s="272"/>
      <c r="O219" s="1552"/>
      <c r="P219" s="1552"/>
      <c r="AH219" s="1559">
        <v>0</v>
      </c>
    </row>
    <row r="220" spans="1:34" s="1563" customFormat="1" ht="0.75" hidden="1" customHeight="1">
      <c r="A220" s="1707"/>
      <c r="B220" s="1707"/>
      <c r="C220" s="307" t="s">
        <v>1152</v>
      </c>
      <c r="D220" s="2348"/>
      <c r="E220" s="2150"/>
      <c r="F220" s="2282"/>
      <c r="G220" s="338"/>
      <c r="H220" s="1428"/>
      <c r="I220" s="589"/>
      <c r="J220" s="509"/>
      <c r="K220" s="1428"/>
      <c r="L220" s="152"/>
      <c r="M220" s="279"/>
      <c r="N220" s="272"/>
      <c r="O220" s="1552"/>
      <c r="P220" s="1552"/>
      <c r="AH220" s="1559">
        <v>0</v>
      </c>
    </row>
    <row r="221" spans="1:34" s="1563" customFormat="1" ht="18.75" hidden="1" customHeight="1">
      <c r="A221" s="1707" t="s">
        <v>179</v>
      </c>
      <c r="B221" s="1707" t="s">
        <v>180</v>
      </c>
      <c r="C221" s="307"/>
      <c r="D221" s="2348"/>
      <c r="E221" s="2150"/>
      <c r="F221" s="2282" t="str">
        <f>INDEX(PT_DIFFERENTIATION_VTAR,MATCH(A221,PT_DIFFERENTIATION_VTAR_ID,0))</f>
        <v>Тарифы на услуги по передаче тепловой энергии</v>
      </c>
      <c r="G221" s="2323" t="str">
        <f>INDEX(PT_DIFFERENTIATION_NTAR,MATCH(B221,PT_DIFFERENTIATION_NTAR_ID,0))</f>
        <v/>
      </c>
      <c r="H221" s="1788"/>
      <c r="I221" s="1666"/>
      <c r="J221" s="1700"/>
      <c r="K221" s="1705"/>
      <c r="L221" s="1788" t="s">
        <v>304</v>
      </c>
      <c r="M221" s="279"/>
      <c r="N221" s="272"/>
      <c r="O221" s="1552"/>
      <c r="P221" s="1552"/>
      <c r="AH221" s="1559">
        <v>0</v>
      </c>
    </row>
    <row r="222" spans="1:34" s="1563" customFormat="1" ht="18.75" hidden="1" customHeight="1">
      <c r="A222" s="1707"/>
      <c r="B222" s="1707"/>
      <c r="C222" s="307" t="s">
        <v>1145</v>
      </c>
      <c r="D222" s="2348"/>
      <c r="E222" s="2150"/>
      <c r="F222" s="2282"/>
      <c r="G222" s="2323"/>
      <c r="H222" s="1428"/>
      <c r="I222" s="589" t="s">
        <v>1144</v>
      </c>
      <c r="J222" s="509"/>
      <c r="K222" s="1428"/>
      <c r="L222" s="152"/>
      <c r="M222" s="279"/>
      <c r="N222" s="272"/>
      <c r="O222" s="1552"/>
      <c r="P222" s="1552"/>
      <c r="AH222" s="1559">
        <v>0</v>
      </c>
    </row>
    <row r="223" spans="1:34" s="1563" customFormat="1" ht="0.75" hidden="1" customHeight="1">
      <c r="A223" s="1707"/>
      <c r="B223" s="1707"/>
      <c r="C223" s="307" t="s">
        <v>1152</v>
      </c>
      <c r="D223" s="2348"/>
      <c r="E223" s="2150"/>
      <c r="F223" s="2282"/>
      <c r="G223" s="338"/>
      <c r="H223" s="1428"/>
      <c r="I223" s="589"/>
      <c r="J223" s="509"/>
      <c r="K223" s="1428"/>
      <c r="L223" s="152"/>
      <c r="M223" s="279"/>
      <c r="N223" s="272"/>
      <c r="O223" s="1552"/>
      <c r="P223" s="1552"/>
      <c r="AH223" s="1559">
        <v>0</v>
      </c>
    </row>
    <row r="224" spans="1:34" s="1563" customFormat="1" ht="18.75" hidden="1" customHeight="1">
      <c r="A224" s="1707" t="s">
        <v>185</v>
      </c>
      <c r="B224" s="1707" t="s">
        <v>186</v>
      </c>
      <c r="C224" s="307"/>
      <c r="D224" s="2348"/>
      <c r="E224" s="2150"/>
      <c r="F224" s="2282" t="str">
        <f>INDEX(PT_DIFFERENTIATION_VTAR,MATCH(A224,PT_DIFFERENTIATION_VTAR_ID,0))</f>
        <v>Тарифы на услуги по передаче теплоносителя</v>
      </c>
      <c r="G224" s="2323" t="str">
        <f>INDEX(PT_DIFFERENTIATION_NTAR,MATCH(B224,PT_DIFFERENTIATION_NTAR_ID,0))</f>
        <v/>
      </c>
      <c r="H224" s="1788"/>
      <c r="I224" s="1666"/>
      <c r="J224" s="1700"/>
      <c r="K224" s="1705"/>
      <c r="L224" s="1788" t="s">
        <v>304</v>
      </c>
      <c r="M224" s="279"/>
      <c r="N224" s="272"/>
      <c r="O224" s="1552"/>
      <c r="P224" s="1552"/>
      <c r="AH224" s="1559">
        <v>0</v>
      </c>
    </row>
    <row r="225" spans="1:34" s="1563" customFormat="1" ht="18.75" hidden="1" customHeight="1">
      <c r="A225" s="1707"/>
      <c r="B225" s="1707"/>
      <c r="C225" s="307" t="s">
        <v>1145</v>
      </c>
      <c r="D225" s="2348"/>
      <c r="E225" s="2150"/>
      <c r="F225" s="2282"/>
      <c r="G225" s="2323"/>
      <c r="H225" s="1428"/>
      <c r="I225" s="589" t="s">
        <v>1144</v>
      </c>
      <c r="J225" s="509"/>
      <c r="K225" s="1428"/>
      <c r="L225" s="152"/>
      <c r="M225" s="279"/>
      <c r="N225" s="272"/>
      <c r="O225" s="1552"/>
      <c r="P225" s="1552"/>
      <c r="AH225" s="1559">
        <v>0</v>
      </c>
    </row>
    <row r="226" spans="1:34" s="1563" customFormat="1" ht="0.75" hidden="1" customHeight="1">
      <c r="A226" s="1707"/>
      <c r="B226" s="1707"/>
      <c r="C226" s="307" t="s">
        <v>1152</v>
      </c>
      <c r="D226" s="2348"/>
      <c r="E226" s="2150"/>
      <c r="F226" s="2282"/>
      <c r="G226" s="338"/>
      <c r="H226" s="1428"/>
      <c r="I226" s="589"/>
      <c r="J226" s="509"/>
      <c r="K226" s="1428"/>
      <c r="L226" s="152"/>
      <c r="M226" s="279"/>
      <c r="N226" s="272"/>
      <c r="O226" s="1552"/>
      <c r="P226" s="1552"/>
      <c r="AH226" s="1559">
        <v>0</v>
      </c>
    </row>
    <row r="227" spans="1:34" s="1563" customFormat="1" ht="18.75" hidden="1" customHeight="1">
      <c r="A227" s="1707" t="s">
        <v>191</v>
      </c>
      <c r="B227" s="1707" t="s">
        <v>192</v>
      </c>
      <c r="C227" s="307"/>
      <c r="D227" s="2348"/>
      <c r="E227" s="2150"/>
      <c r="F227" s="228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3" t="str">
        <f>INDEX(PT_DIFFERENTIATION_NTAR,MATCH(B227,PT_DIFFERENTIATION_NTAR_ID,0))</f>
        <v/>
      </c>
      <c r="H227" s="1788"/>
      <c r="I227" s="1666"/>
      <c r="J227" s="1700"/>
      <c r="K227" s="1705"/>
      <c r="L227" s="1788" t="s">
        <v>304</v>
      </c>
      <c r="M227" s="279"/>
      <c r="N227" s="272"/>
      <c r="O227" s="1552"/>
      <c r="P227" s="1552"/>
      <c r="AH227" s="1559">
        <v>0</v>
      </c>
    </row>
    <row r="228" spans="1:34" s="1563" customFormat="1" ht="18.75" hidden="1" customHeight="1">
      <c r="A228" s="1707"/>
      <c r="B228" s="1707"/>
      <c r="C228" s="307" t="s">
        <v>1145</v>
      </c>
      <c r="D228" s="2348"/>
      <c r="E228" s="2150"/>
      <c r="F228" s="2282"/>
      <c r="G228" s="2323"/>
      <c r="H228" s="1428"/>
      <c r="I228" s="589" t="s">
        <v>1144</v>
      </c>
      <c r="J228" s="509"/>
      <c r="K228" s="1428"/>
      <c r="L228" s="152"/>
      <c r="M228" s="279"/>
      <c r="N228" s="272"/>
      <c r="O228" s="1552"/>
      <c r="P228" s="1552"/>
      <c r="AH228" s="1559">
        <v>0</v>
      </c>
    </row>
    <row r="229" spans="1:34" s="1563" customFormat="1" ht="0.75" hidden="1" customHeight="1">
      <c r="A229" s="1707"/>
      <c r="B229" s="1707"/>
      <c r="C229" s="307" t="s">
        <v>1152</v>
      </c>
      <c r="D229" s="2348"/>
      <c r="E229" s="2150"/>
      <c r="F229" s="2282"/>
      <c r="G229" s="338"/>
      <c r="H229" s="1428"/>
      <c r="I229" s="589"/>
      <c r="J229" s="509"/>
      <c r="K229" s="1428"/>
      <c r="L229" s="152"/>
      <c r="M229" s="279"/>
      <c r="N229" s="272"/>
      <c r="O229" s="1552"/>
      <c r="P229" s="1552"/>
      <c r="AH229" s="1559">
        <v>0</v>
      </c>
    </row>
    <row r="230" spans="1:34" s="1563" customFormat="1" ht="18.75" hidden="1" customHeight="1">
      <c r="A230" s="1707" t="s">
        <v>197</v>
      </c>
      <c r="B230" s="1707" t="s">
        <v>198</v>
      </c>
      <c r="C230" s="307"/>
      <c r="D230" s="2348"/>
      <c r="E230" s="2150"/>
      <c r="F230" s="2282" t="str">
        <f>INDEX(PT_DIFFERENTIATION_VTAR,MATCH(A230,PT_DIFFERENTIATION_VTAR_ID,0))</f>
        <v>Плата за подключение (технологическое присоединение) к системе теплоснабжения</v>
      </c>
      <c r="G230" s="2323" t="str">
        <f>INDEX(PT_DIFFERENTIATION_NTAR,MATCH(B230,PT_DIFFERENTIATION_NTAR_ID,0))</f>
        <v/>
      </c>
      <c r="H230" s="1788"/>
      <c r="I230" s="1666"/>
      <c r="J230" s="1700"/>
      <c r="K230" s="1705"/>
      <c r="L230" s="1788" t="s">
        <v>304</v>
      </c>
      <c r="M230" s="279"/>
      <c r="N230" s="272"/>
      <c r="O230" s="1552"/>
      <c r="P230" s="1552"/>
      <c r="AH230" s="1559">
        <v>0</v>
      </c>
    </row>
    <row r="231" spans="1:34" s="1563" customFormat="1" ht="18.75" hidden="1" customHeight="1">
      <c r="A231" s="1707"/>
      <c r="B231" s="1707"/>
      <c r="C231" s="307" t="s">
        <v>1145</v>
      </c>
      <c r="D231" s="2348"/>
      <c r="E231" s="2150"/>
      <c r="F231" s="2282"/>
      <c r="G231" s="2323"/>
      <c r="H231" s="1428"/>
      <c r="I231" s="589" t="s">
        <v>1144</v>
      </c>
      <c r="J231" s="509"/>
      <c r="K231" s="1428"/>
      <c r="L231" s="152"/>
      <c r="M231" s="279"/>
      <c r="N231" s="272"/>
      <c r="O231" s="1552"/>
      <c r="P231" s="1552"/>
      <c r="AH231" s="1559">
        <v>0</v>
      </c>
    </row>
    <row r="232" spans="1:34" s="1563" customFormat="1" ht="0.75" hidden="1" customHeight="1">
      <c r="A232" s="1707"/>
      <c r="B232" s="1707"/>
      <c r="C232" s="307" t="s">
        <v>1152</v>
      </c>
      <c r="D232" s="2348"/>
      <c r="E232" s="2150"/>
      <c r="F232" s="2282"/>
      <c r="G232" s="338"/>
      <c r="H232" s="1428"/>
      <c r="I232" s="589"/>
      <c r="J232" s="509"/>
      <c r="K232" s="1428"/>
      <c r="L232" s="152"/>
      <c r="M232" s="279"/>
      <c r="N232" s="272"/>
      <c r="O232" s="1552"/>
      <c r="P232" s="1552"/>
      <c r="AH232" s="1559">
        <v>0</v>
      </c>
    </row>
    <row r="233" spans="1:34" s="1563" customFormat="1" ht="18.75" hidden="1" customHeight="1">
      <c r="A233" s="1707" t="s">
        <v>203</v>
      </c>
      <c r="B233" s="1707" t="s">
        <v>204</v>
      </c>
      <c r="C233" s="307"/>
      <c r="D233" s="2348"/>
      <c r="E233" s="2150"/>
      <c r="F233" s="2282" t="str">
        <f>INDEX(PT_DIFFERENTIATION_VTAR,MATCH(A233,PT_DIFFERENTIATION_VTAR_ID,0))</f>
        <v>Плата за подключение (технологическое присоединение) к системе теплоснабжения (индивидуальная)</v>
      </c>
      <c r="G233" s="2323" t="str">
        <f>INDEX(PT_DIFFERENTIATION_NTAR,MATCH(B233,PT_DIFFERENTIATION_NTAR_ID,0))</f>
        <v/>
      </c>
      <c r="H233" s="1912"/>
      <c r="I233" s="1666"/>
      <c r="J233" s="1700"/>
      <c r="K233" s="1705"/>
      <c r="L233" s="1912" t="s">
        <v>304</v>
      </c>
      <c r="M233" s="279"/>
      <c r="N233" s="272"/>
      <c r="O233" s="1552"/>
      <c r="P233" s="1552"/>
      <c r="AH233" s="1559">
        <v>0</v>
      </c>
    </row>
    <row r="234" spans="1:34" s="1563" customFormat="1" ht="18.75" hidden="1" customHeight="1">
      <c r="A234" s="1707"/>
      <c r="B234" s="1707"/>
      <c r="C234" s="307" t="s">
        <v>1145</v>
      </c>
      <c r="D234" s="2348"/>
      <c r="E234" s="2150"/>
      <c r="F234" s="2282"/>
      <c r="G234" s="2323"/>
      <c r="H234" s="1428"/>
      <c r="I234" s="589" t="s">
        <v>1144</v>
      </c>
      <c r="J234" s="509"/>
      <c r="K234" s="1428"/>
      <c r="L234" s="152"/>
      <c r="M234" s="279"/>
      <c r="N234" s="272"/>
      <c r="O234" s="1552"/>
      <c r="P234" s="1552"/>
      <c r="AH234" s="1559">
        <v>0</v>
      </c>
    </row>
    <row r="235" spans="1:34" s="1563" customFormat="1" ht="0.75" hidden="1" customHeight="1">
      <c r="A235" s="1707"/>
      <c r="B235" s="1707"/>
      <c r="C235" s="307" t="s">
        <v>1152</v>
      </c>
      <c r="D235" s="2348"/>
      <c r="E235" s="2150"/>
      <c r="F235" s="2282"/>
      <c r="G235" s="338"/>
      <c r="H235" s="1428"/>
      <c r="I235" s="589"/>
      <c r="J235" s="509"/>
      <c r="K235" s="1428"/>
      <c r="L235" s="152"/>
      <c r="M235" s="279"/>
      <c r="N235" s="272"/>
      <c r="O235" s="1552"/>
      <c r="P235" s="1552"/>
      <c r="AH235" s="1559">
        <v>0</v>
      </c>
    </row>
    <row r="236" spans="1:34" s="1563" customFormat="1" ht="18.75" hidden="1" customHeight="1">
      <c r="A236" s="1707" t="s">
        <v>223</v>
      </c>
      <c r="B236" s="1707" t="s">
        <v>224</v>
      </c>
      <c r="C236" s="307"/>
      <c r="D236" s="2348"/>
      <c r="E236" s="2150"/>
      <c r="F236" s="2282" t="str">
        <f>INDEX(PT_DIFFERENTIATION_VTAR,MATCH(A236,PT_DIFFERENTIATION_VTAR_ID,0))</f>
        <v>Тариф на питьевую воду (питьевое водоснабжение)</v>
      </c>
      <c r="G236" s="2323" t="str">
        <f>INDEX(PT_DIFFERENTIATION_NTAR,MATCH(B236,PT_DIFFERENTIATION_NTAR_ID,0))</f>
        <v/>
      </c>
      <c r="H236" s="1788"/>
      <c r="I236" s="1666"/>
      <c r="J236" s="1700"/>
      <c r="K236" s="1705"/>
      <c r="L236" s="1788" t="s">
        <v>304</v>
      </c>
      <c r="M236" s="279"/>
      <c r="N236" s="272"/>
      <c r="O236" s="1552"/>
      <c r="P236" s="1552"/>
      <c r="AH236" s="1559">
        <v>0</v>
      </c>
    </row>
    <row r="237" spans="1:34" s="1563" customFormat="1" ht="18.75" hidden="1" customHeight="1">
      <c r="A237" s="1707"/>
      <c r="B237" s="1707"/>
      <c r="C237" s="307" t="s">
        <v>1145</v>
      </c>
      <c r="D237" s="2348"/>
      <c r="E237" s="2150"/>
      <c r="F237" s="2282"/>
      <c r="G237" s="2323"/>
      <c r="H237" s="1428"/>
      <c r="I237" s="589" t="s">
        <v>1144</v>
      </c>
      <c r="J237" s="509"/>
      <c r="K237" s="1428"/>
      <c r="L237" s="152"/>
      <c r="M237" s="279"/>
      <c r="N237" s="272"/>
      <c r="O237" s="1552"/>
      <c r="P237" s="1552"/>
      <c r="AH237" s="1559">
        <v>0</v>
      </c>
    </row>
    <row r="238" spans="1:34" s="1563" customFormat="1" ht="0.75" hidden="1" customHeight="1">
      <c r="A238" s="1707"/>
      <c r="B238" s="1707"/>
      <c r="C238" s="307" t="s">
        <v>1152</v>
      </c>
      <c r="D238" s="2348"/>
      <c r="E238" s="2150"/>
      <c r="F238" s="2282"/>
      <c r="G238" s="338"/>
      <c r="H238" s="1428"/>
      <c r="I238" s="589"/>
      <c r="J238" s="509"/>
      <c r="K238" s="1428"/>
      <c r="L238" s="152"/>
      <c r="M238" s="279"/>
      <c r="N238" s="272"/>
      <c r="O238" s="1552"/>
      <c r="P238" s="1552"/>
      <c r="AH238" s="1559">
        <v>0</v>
      </c>
    </row>
    <row r="239" spans="1:34" s="1563" customFormat="1" ht="18.75" hidden="1" customHeight="1">
      <c r="A239" s="1707" t="s">
        <v>228</v>
      </c>
      <c r="B239" s="1707" t="s">
        <v>229</v>
      </c>
      <c r="C239" s="307"/>
      <c r="D239" s="2348"/>
      <c r="E239" s="2150"/>
      <c r="F239" s="2282" t="str">
        <f>INDEX(PT_DIFFERENTIATION_VTAR,MATCH(A239,PT_DIFFERENTIATION_VTAR_ID,0))</f>
        <v>Тариф на техническую воду</v>
      </c>
      <c r="G239" s="2323" t="str">
        <f>INDEX(PT_DIFFERENTIATION_NTAR,MATCH(B239,PT_DIFFERENTIATION_NTAR_ID,0))</f>
        <v/>
      </c>
      <c r="H239" s="1788"/>
      <c r="I239" s="1666"/>
      <c r="J239" s="1700"/>
      <c r="K239" s="1705"/>
      <c r="L239" s="1788" t="s">
        <v>304</v>
      </c>
      <c r="M239" s="279"/>
      <c r="N239" s="272"/>
      <c r="O239" s="1552"/>
      <c r="P239" s="1552"/>
      <c r="AH239" s="1559">
        <v>0</v>
      </c>
    </row>
    <row r="240" spans="1:34" s="1563" customFormat="1" ht="18.75" hidden="1" customHeight="1">
      <c r="A240" s="1707"/>
      <c r="B240" s="1707"/>
      <c r="C240" s="307" t="s">
        <v>1145</v>
      </c>
      <c r="D240" s="2348"/>
      <c r="E240" s="2150"/>
      <c r="F240" s="2282"/>
      <c r="G240" s="2323"/>
      <c r="H240" s="1428"/>
      <c r="I240" s="589" t="s">
        <v>1144</v>
      </c>
      <c r="J240" s="509"/>
      <c r="K240" s="1428"/>
      <c r="L240" s="152"/>
      <c r="M240" s="279"/>
      <c r="N240" s="272"/>
      <c r="O240" s="1552"/>
      <c r="P240" s="1552"/>
      <c r="AH240" s="1559">
        <v>0</v>
      </c>
    </row>
    <row r="241" spans="1:34" s="1563" customFormat="1" ht="0.75" hidden="1" customHeight="1">
      <c r="A241" s="1707"/>
      <c r="B241" s="1707"/>
      <c r="C241" s="307" t="s">
        <v>1152</v>
      </c>
      <c r="D241" s="2348"/>
      <c r="E241" s="2150"/>
      <c r="F241" s="2282"/>
      <c r="G241" s="338"/>
      <c r="H241" s="1428"/>
      <c r="I241" s="589"/>
      <c r="J241" s="509"/>
      <c r="K241" s="1428"/>
      <c r="L241" s="152"/>
      <c r="M241" s="279"/>
      <c r="N241" s="272"/>
      <c r="O241" s="1552"/>
      <c r="P241" s="1552"/>
      <c r="AH241" s="1559">
        <v>0</v>
      </c>
    </row>
    <row r="242" spans="1:34" s="1563" customFormat="1" ht="18.75" hidden="1" customHeight="1">
      <c r="A242" s="1707" t="s">
        <v>233</v>
      </c>
      <c r="B242" s="1707" t="s">
        <v>234</v>
      </c>
      <c r="C242" s="307"/>
      <c r="D242" s="2348"/>
      <c r="E242" s="2150"/>
      <c r="F242" s="2282" t="str">
        <f>INDEX(PT_DIFFERENTIATION_VTAR,MATCH(A242,PT_DIFFERENTIATION_VTAR_ID,0))</f>
        <v>Тариф на транспортировку воды</v>
      </c>
      <c r="G242" s="2323" t="str">
        <f>INDEX(PT_DIFFERENTIATION_NTAR,MATCH(B242,PT_DIFFERENTIATION_NTAR_ID,0))</f>
        <v/>
      </c>
      <c r="H242" s="1788"/>
      <c r="I242" s="1666"/>
      <c r="J242" s="1700"/>
      <c r="K242" s="1705"/>
      <c r="L242" s="1788" t="s">
        <v>304</v>
      </c>
      <c r="M242" s="279"/>
      <c r="N242" s="272"/>
      <c r="O242" s="1552"/>
      <c r="P242" s="1552"/>
      <c r="AH242" s="1559">
        <v>0</v>
      </c>
    </row>
    <row r="243" spans="1:34" s="1563" customFormat="1" ht="18.75" hidden="1" customHeight="1">
      <c r="A243" s="1707"/>
      <c r="B243" s="1707"/>
      <c r="C243" s="307" t="s">
        <v>1145</v>
      </c>
      <c r="D243" s="2348"/>
      <c r="E243" s="2150"/>
      <c r="F243" s="2282"/>
      <c r="G243" s="2323"/>
      <c r="H243" s="1428"/>
      <c r="I243" s="589" t="s">
        <v>1144</v>
      </c>
      <c r="J243" s="509"/>
      <c r="K243" s="1428"/>
      <c r="L243" s="152"/>
      <c r="M243" s="279"/>
      <c r="N243" s="272"/>
      <c r="O243" s="1552"/>
      <c r="P243" s="1552"/>
      <c r="AH243" s="1559">
        <v>0</v>
      </c>
    </row>
    <row r="244" spans="1:34" s="1563" customFormat="1" ht="0.75" hidden="1" customHeight="1">
      <c r="A244" s="1707"/>
      <c r="B244" s="1707"/>
      <c r="C244" s="307" t="s">
        <v>1152</v>
      </c>
      <c r="D244" s="2348"/>
      <c r="E244" s="2150"/>
      <c r="F244" s="2282"/>
      <c r="G244" s="338"/>
      <c r="H244" s="1428"/>
      <c r="I244" s="589"/>
      <c r="J244" s="509"/>
      <c r="K244" s="1428"/>
      <c r="L244" s="152"/>
      <c r="M244" s="279"/>
      <c r="N244" s="272"/>
      <c r="O244" s="1552"/>
      <c r="P244" s="1552"/>
      <c r="AH244" s="1559">
        <v>0</v>
      </c>
    </row>
    <row r="245" spans="1:34" s="1563" customFormat="1" ht="18.75" hidden="1" customHeight="1">
      <c r="A245" s="1707" t="s">
        <v>238</v>
      </c>
      <c r="B245" s="1707" t="s">
        <v>239</v>
      </c>
      <c r="C245" s="307"/>
      <c r="D245" s="2348"/>
      <c r="E245" s="2150"/>
      <c r="F245" s="2282" t="str">
        <f>INDEX(PT_DIFFERENTIATION_VTAR,MATCH(A245,PT_DIFFERENTIATION_VTAR_ID,0))</f>
        <v>Тариф на подвоз воды</v>
      </c>
      <c r="G245" s="2323" t="str">
        <f>INDEX(PT_DIFFERENTIATION_NTAR,MATCH(B245,PT_DIFFERENTIATION_NTAR_ID,0))</f>
        <v/>
      </c>
      <c r="H245" s="1788"/>
      <c r="I245" s="1666"/>
      <c r="J245" s="1700"/>
      <c r="K245" s="1705"/>
      <c r="L245" s="1788" t="s">
        <v>304</v>
      </c>
      <c r="M245" s="279"/>
      <c r="N245" s="272"/>
      <c r="O245" s="1552"/>
      <c r="P245" s="1552"/>
      <c r="AH245" s="1559">
        <v>0</v>
      </c>
    </row>
    <row r="246" spans="1:34" s="1563" customFormat="1" ht="18.75" hidden="1" customHeight="1">
      <c r="A246" s="1707"/>
      <c r="B246" s="1707"/>
      <c r="C246" s="307" t="s">
        <v>1145</v>
      </c>
      <c r="D246" s="2348"/>
      <c r="E246" s="2150"/>
      <c r="F246" s="2282"/>
      <c r="G246" s="2323"/>
      <c r="H246" s="1428"/>
      <c r="I246" s="589" t="s">
        <v>1144</v>
      </c>
      <c r="J246" s="509"/>
      <c r="K246" s="1428"/>
      <c r="L246" s="152"/>
      <c r="M246" s="279"/>
      <c r="N246" s="272"/>
      <c r="O246" s="1552"/>
      <c r="P246" s="1552"/>
      <c r="AH246" s="1559">
        <v>0</v>
      </c>
    </row>
    <row r="247" spans="1:34" s="1563" customFormat="1" ht="0.75" hidden="1" customHeight="1">
      <c r="A247" s="1707"/>
      <c r="B247" s="1707"/>
      <c r="C247" s="307" t="s">
        <v>1152</v>
      </c>
      <c r="D247" s="2348"/>
      <c r="E247" s="2150"/>
      <c r="F247" s="2282"/>
      <c r="G247" s="338"/>
      <c r="H247" s="1428"/>
      <c r="I247" s="589"/>
      <c r="J247" s="509"/>
      <c r="K247" s="1428"/>
      <c r="L247" s="152"/>
      <c r="M247" s="279"/>
      <c r="N247" s="272"/>
      <c r="O247" s="1552"/>
      <c r="P247" s="1552"/>
      <c r="AH247" s="1559">
        <v>0</v>
      </c>
    </row>
    <row r="248" spans="1:34" s="1563" customFormat="1" ht="18.75" hidden="1" customHeight="1">
      <c r="A248" s="1707" t="s">
        <v>243</v>
      </c>
      <c r="B248" s="1707" t="s">
        <v>244</v>
      </c>
      <c r="C248" s="307"/>
      <c r="D248" s="2348"/>
      <c r="E248" s="2150"/>
      <c r="F248" s="228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3" t="str">
        <f>INDEX(PT_DIFFERENTIATION_NTAR,MATCH(B248,PT_DIFFERENTIATION_NTAR_ID,0))</f>
        <v/>
      </c>
      <c r="H248" s="1788"/>
      <c r="I248" s="1666"/>
      <c r="J248" s="1700"/>
      <c r="K248" s="1705"/>
      <c r="L248" s="1788" t="s">
        <v>304</v>
      </c>
      <c r="M248" s="279"/>
      <c r="N248" s="272"/>
      <c r="O248" s="1552"/>
      <c r="P248" s="1552"/>
      <c r="AH248" s="1559">
        <v>0</v>
      </c>
    </row>
    <row r="249" spans="1:34" s="1563" customFormat="1" ht="18.75" hidden="1" customHeight="1">
      <c r="A249" s="1707"/>
      <c r="B249" s="1707"/>
      <c r="C249" s="307" t="s">
        <v>1145</v>
      </c>
      <c r="D249" s="2348"/>
      <c r="E249" s="2150"/>
      <c r="F249" s="2282"/>
      <c r="G249" s="2323"/>
      <c r="H249" s="1428"/>
      <c r="I249" s="589" t="s">
        <v>1144</v>
      </c>
      <c r="J249" s="509"/>
      <c r="K249" s="1428"/>
      <c r="L249" s="152"/>
      <c r="M249" s="279"/>
      <c r="N249" s="272"/>
      <c r="O249" s="1552"/>
      <c r="P249" s="1552"/>
      <c r="AH249" s="1559">
        <v>0</v>
      </c>
    </row>
    <row r="250" spans="1:34" s="1563" customFormat="1" ht="0.75" hidden="1" customHeight="1">
      <c r="A250" s="1707"/>
      <c r="B250" s="1707"/>
      <c r="C250" s="307" t="s">
        <v>1152</v>
      </c>
      <c r="D250" s="2348"/>
      <c r="E250" s="2150"/>
      <c r="F250" s="2282"/>
      <c r="G250" s="338"/>
      <c r="H250" s="1428"/>
      <c r="I250" s="589"/>
      <c r="J250" s="509"/>
      <c r="K250" s="1428"/>
      <c r="L250" s="152"/>
      <c r="M250" s="279"/>
      <c r="N250" s="272"/>
      <c r="O250" s="1552"/>
      <c r="P250" s="1552"/>
      <c r="AH250" s="1559">
        <v>0</v>
      </c>
    </row>
    <row r="251" spans="1:34" s="1563" customFormat="1" ht="18.75" hidden="1" customHeight="1">
      <c r="A251" s="1707" t="s">
        <v>248</v>
      </c>
      <c r="B251" s="1707" t="s">
        <v>249</v>
      </c>
      <c r="C251" s="307"/>
      <c r="D251" s="2348"/>
      <c r="E251" s="2150"/>
      <c r="F251" s="2282" t="str">
        <f>INDEX(PT_DIFFERENTIATION_VTAR,MATCH(A251,PT_DIFFERENTIATION_VTAR_ID,0))</f>
        <v>Тариф на горячую воду (горячее водоснабжение)</v>
      </c>
      <c r="G251" s="2323" t="str">
        <f>INDEX(PT_DIFFERENTIATION_NTAR,MATCH(B251,PT_DIFFERENTIATION_NTAR_ID,0))</f>
        <v/>
      </c>
      <c r="H251" s="1788"/>
      <c r="I251" s="1666"/>
      <c r="J251" s="1700"/>
      <c r="K251" s="1705"/>
      <c r="L251" s="1788" t="s">
        <v>304</v>
      </c>
      <c r="M251" s="279"/>
      <c r="N251" s="272"/>
      <c r="O251" s="1552"/>
      <c r="P251" s="1552"/>
      <c r="AH251" s="1559">
        <v>0</v>
      </c>
    </row>
    <row r="252" spans="1:34" s="1563" customFormat="1" ht="18.75" hidden="1" customHeight="1">
      <c r="A252" s="1707"/>
      <c r="B252" s="1707"/>
      <c r="C252" s="307" t="s">
        <v>1145</v>
      </c>
      <c r="D252" s="2348"/>
      <c r="E252" s="2150"/>
      <c r="F252" s="2282"/>
      <c r="G252" s="2323"/>
      <c r="H252" s="1428"/>
      <c r="I252" s="589" t="s">
        <v>1144</v>
      </c>
      <c r="J252" s="509"/>
      <c r="K252" s="1428"/>
      <c r="L252" s="152"/>
      <c r="M252" s="279"/>
      <c r="N252" s="272"/>
      <c r="O252" s="1552"/>
      <c r="P252" s="1552"/>
      <c r="AH252" s="1559">
        <v>0</v>
      </c>
    </row>
    <row r="253" spans="1:34" s="1563" customFormat="1" ht="0.75" hidden="1" customHeight="1">
      <c r="A253" s="1707"/>
      <c r="B253" s="1707"/>
      <c r="C253" s="307" t="s">
        <v>1152</v>
      </c>
      <c r="D253" s="2348"/>
      <c r="E253" s="2150"/>
      <c r="F253" s="2282"/>
      <c r="G253" s="338"/>
      <c r="H253" s="1428"/>
      <c r="I253" s="589"/>
      <c r="J253" s="509"/>
      <c r="K253" s="1428"/>
      <c r="L253" s="152"/>
      <c r="M253" s="279"/>
      <c r="N253" s="272"/>
      <c r="O253" s="1552"/>
      <c r="P253" s="1552"/>
      <c r="AH253" s="1559">
        <v>0</v>
      </c>
    </row>
    <row r="254" spans="1:34" s="1563" customFormat="1" ht="18.75" hidden="1" customHeight="1">
      <c r="A254" s="1707" t="s">
        <v>253</v>
      </c>
      <c r="B254" s="1707" t="s">
        <v>254</v>
      </c>
      <c r="C254" s="307"/>
      <c r="D254" s="2348"/>
      <c r="E254" s="2150"/>
      <c r="F254" s="2282" t="str">
        <f>INDEX(PT_DIFFERENTIATION_VTAR,MATCH(A254,PT_DIFFERENTIATION_VTAR_ID,0))</f>
        <v>Тариф на транспортировку горячей воды</v>
      </c>
      <c r="G254" s="2323" t="str">
        <f>INDEX(PT_DIFFERENTIATION_NTAR,MATCH(B254,PT_DIFFERENTIATION_NTAR_ID,0))</f>
        <v/>
      </c>
      <c r="H254" s="1788"/>
      <c r="I254" s="1666"/>
      <c r="J254" s="1700"/>
      <c r="K254" s="1705"/>
      <c r="L254" s="1788" t="s">
        <v>304</v>
      </c>
      <c r="M254" s="279"/>
      <c r="N254" s="272"/>
      <c r="O254" s="1552"/>
      <c r="P254" s="1552"/>
      <c r="AH254" s="1559">
        <v>0</v>
      </c>
    </row>
    <row r="255" spans="1:34" s="1563" customFormat="1" ht="18.75" hidden="1" customHeight="1">
      <c r="A255" s="1707"/>
      <c r="B255" s="1707"/>
      <c r="C255" s="307" t="s">
        <v>1145</v>
      </c>
      <c r="D255" s="2348"/>
      <c r="E255" s="2150"/>
      <c r="F255" s="2282"/>
      <c r="G255" s="2323"/>
      <c r="H255" s="1428"/>
      <c r="I255" s="589" t="s">
        <v>1144</v>
      </c>
      <c r="J255" s="509"/>
      <c r="K255" s="1428"/>
      <c r="L255" s="152"/>
      <c r="M255" s="279"/>
      <c r="N255" s="272"/>
      <c r="O255" s="1552"/>
      <c r="P255" s="1552"/>
      <c r="AH255" s="1559">
        <v>0</v>
      </c>
    </row>
    <row r="256" spans="1:34" s="1563" customFormat="1" ht="0.75" hidden="1" customHeight="1">
      <c r="A256" s="1707"/>
      <c r="B256" s="1707"/>
      <c r="C256" s="307" t="s">
        <v>1152</v>
      </c>
      <c r="D256" s="2348"/>
      <c r="E256" s="2150"/>
      <c r="F256" s="2282"/>
      <c r="G256" s="338"/>
      <c r="H256" s="1428"/>
      <c r="I256" s="589"/>
      <c r="J256" s="509"/>
      <c r="K256" s="1428"/>
      <c r="L256" s="152"/>
      <c r="M256" s="279"/>
      <c r="N256" s="272"/>
      <c r="O256" s="1552"/>
      <c r="P256" s="1552"/>
      <c r="AH256" s="1559">
        <v>0</v>
      </c>
    </row>
    <row r="257" spans="1:34" s="1563" customFormat="1" ht="18.75" hidden="1" customHeight="1">
      <c r="A257" s="1707" t="s">
        <v>258</v>
      </c>
      <c r="B257" s="1707" t="s">
        <v>259</v>
      </c>
      <c r="C257" s="307"/>
      <c r="D257" s="2348"/>
      <c r="E257" s="2150"/>
      <c r="F257" s="2282"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3" t="str">
        <f>INDEX(PT_DIFFERENTIATION_NTAR,MATCH(B257,PT_DIFFERENTIATION_NTAR_ID,0))</f>
        <v/>
      </c>
      <c r="H257" s="1788"/>
      <c r="I257" s="1666"/>
      <c r="J257" s="1700"/>
      <c r="K257" s="1705"/>
      <c r="L257" s="1788" t="s">
        <v>304</v>
      </c>
      <c r="M257" s="279"/>
      <c r="N257" s="272"/>
      <c r="O257" s="1552"/>
      <c r="P257" s="1552"/>
      <c r="AH257" s="1559">
        <v>0</v>
      </c>
    </row>
    <row r="258" spans="1:34" s="1563" customFormat="1" ht="18.75" hidden="1" customHeight="1">
      <c r="A258" s="1707"/>
      <c r="B258" s="1707"/>
      <c r="C258" s="307" t="s">
        <v>1145</v>
      </c>
      <c r="D258" s="2348"/>
      <c r="E258" s="2150"/>
      <c r="F258" s="2282"/>
      <c r="G258" s="2323"/>
      <c r="H258" s="1428"/>
      <c r="I258" s="589" t="s">
        <v>1144</v>
      </c>
      <c r="J258" s="509"/>
      <c r="K258" s="1428"/>
      <c r="L258" s="152"/>
      <c r="M258" s="279"/>
      <c r="N258" s="272"/>
      <c r="O258" s="1552"/>
      <c r="P258" s="1552"/>
      <c r="AH258" s="1559">
        <v>0</v>
      </c>
    </row>
    <row r="259" spans="1:34" s="1563" customFormat="1" ht="0.75" hidden="1" customHeight="1">
      <c r="A259" s="1707"/>
      <c r="B259" s="1707"/>
      <c r="C259" s="307" t="s">
        <v>1152</v>
      </c>
      <c r="D259" s="2348"/>
      <c r="E259" s="2150"/>
      <c r="F259" s="2282"/>
      <c r="G259" s="338"/>
      <c r="H259" s="1428"/>
      <c r="I259" s="589"/>
      <c r="J259" s="509"/>
      <c r="K259" s="1428"/>
      <c r="L259" s="152"/>
      <c r="M259" s="279"/>
      <c r="N259" s="272"/>
      <c r="O259" s="1552"/>
      <c r="P259" s="1552"/>
      <c r="AH259" s="1559">
        <v>0</v>
      </c>
    </row>
    <row r="260" spans="1:34" s="1563" customFormat="1" ht="18.75" hidden="1" customHeight="1">
      <c r="A260" s="1707" t="s">
        <v>263</v>
      </c>
      <c r="B260" s="1707" t="s">
        <v>264</v>
      </c>
      <c r="C260" s="307"/>
      <c r="D260" s="2348"/>
      <c r="E260" s="2150"/>
      <c r="F260" s="2282" t="str">
        <f>INDEX(PT_DIFFERENTIATION_VTAR,MATCH(A260,PT_DIFFERENTIATION_VTAR_ID,0))</f>
        <v>Тариф на водоотведение</v>
      </c>
      <c r="G260" s="2323" t="str">
        <f>INDEX(PT_DIFFERENTIATION_NTAR,MATCH(B260,PT_DIFFERENTIATION_NTAR_ID,0))</f>
        <v/>
      </c>
      <c r="H260" s="1788"/>
      <c r="I260" s="1666"/>
      <c r="J260" s="1700"/>
      <c r="K260" s="1705"/>
      <c r="L260" s="1788" t="s">
        <v>304</v>
      </c>
      <c r="M260" s="279"/>
      <c r="N260" s="272"/>
      <c r="O260" s="1552"/>
      <c r="P260" s="1552"/>
      <c r="AH260" s="1559">
        <v>0</v>
      </c>
    </row>
    <row r="261" spans="1:34" s="1563" customFormat="1" ht="18.75" hidden="1" customHeight="1">
      <c r="A261" s="1707"/>
      <c r="B261" s="1707"/>
      <c r="C261" s="307" t="s">
        <v>1145</v>
      </c>
      <c r="D261" s="2348"/>
      <c r="E261" s="2150"/>
      <c r="F261" s="2282"/>
      <c r="G261" s="2323"/>
      <c r="H261" s="1428"/>
      <c r="I261" s="589" t="s">
        <v>1144</v>
      </c>
      <c r="J261" s="509"/>
      <c r="K261" s="1428"/>
      <c r="L261" s="152"/>
      <c r="M261" s="279"/>
      <c r="N261" s="272"/>
      <c r="O261" s="1552"/>
      <c r="P261" s="1552"/>
      <c r="AH261" s="1559">
        <v>0</v>
      </c>
    </row>
    <row r="262" spans="1:34" s="1563" customFormat="1" ht="0.75" hidden="1" customHeight="1">
      <c r="A262" s="1707"/>
      <c r="B262" s="1707"/>
      <c r="C262" s="307" t="s">
        <v>1152</v>
      </c>
      <c r="D262" s="2348"/>
      <c r="E262" s="2150"/>
      <c r="F262" s="2282"/>
      <c r="G262" s="338"/>
      <c r="H262" s="1428"/>
      <c r="I262" s="589"/>
      <c r="J262" s="509"/>
      <c r="K262" s="1428"/>
      <c r="L262" s="152"/>
      <c r="M262" s="279"/>
      <c r="N262" s="272"/>
      <c r="O262" s="1552"/>
      <c r="P262" s="1552"/>
      <c r="AH262" s="1559">
        <v>0</v>
      </c>
    </row>
    <row r="263" spans="1:34" s="1563" customFormat="1" ht="18.75" hidden="1" customHeight="1">
      <c r="A263" s="1707" t="s">
        <v>268</v>
      </c>
      <c r="B263" s="1707" t="s">
        <v>269</v>
      </c>
      <c r="C263" s="307"/>
      <c r="D263" s="2348"/>
      <c r="E263" s="2150"/>
      <c r="F263" s="2282" t="str">
        <f>INDEX(PT_DIFFERENTIATION_VTAR,MATCH(A263,PT_DIFFERENTIATION_VTAR_ID,0))</f>
        <v>Тариф на транспортировку сточных вод</v>
      </c>
      <c r="G263" s="2323" t="str">
        <f>INDEX(PT_DIFFERENTIATION_NTAR,MATCH(B263,PT_DIFFERENTIATION_NTAR_ID,0))</f>
        <v/>
      </c>
      <c r="H263" s="1788"/>
      <c r="I263" s="1666"/>
      <c r="J263" s="1700"/>
      <c r="K263" s="1705"/>
      <c r="L263" s="1788" t="s">
        <v>304</v>
      </c>
      <c r="M263" s="279"/>
      <c r="N263" s="272"/>
      <c r="O263" s="1552"/>
      <c r="P263" s="1552"/>
      <c r="AH263" s="1559">
        <v>0</v>
      </c>
    </row>
    <row r="264" spans="1:34" s="1563" customFormat="1" ht="18.75" hidden="1" customHeight="1">
      <c r="A264" s="1707"/>
      <c r="B264" s="1707"/>
      <c r="C264" s="307" t="s">
        <v>1145</v>
      </c>
      <c r="D264" s="2348"/>
      <c r="E264" s="2150"/>
      <c r="F264" s="2282"/>
      <c r="G264" s="2323"/>
      <c r="H264" s="1428"/>
      <c r="I264" s="589" t="s">
        <v>1144</v>
      </c>
      <c r="J264" s="509"/>
      <c r="K264" s="1428"/>
      <c r="L264" s="152"/>
      <c r="M264" s="279"/>
      <c r="N264" s="272"/>
      <c r="O264" s="1552"/>
      <c r="P264" s="1552"/>
      <c r="AH264" s="1559">
        <v>0</v>
      </c>
    </row>
    <row r="265" spans="1:34" s="1563" customFormat="1" ht="0.75" hidden="1" customHeight="1">
      <c r="A265" s="1707"/>
      <c r="B265" s="1707"/>
      <c r="C265" s="307" t="s">
        <v>1152</v>
      </c>
      <c r="D265" s="2348"/>
      <c r="E265" s="2150"/>
      <c r="F265" s="2282"/>
      <c r="G265" s="338"/>
      <c r="H265" s="1428"/>
      <c r="I265" s="589"/>
      <c r="J265" s="509"/>
      <c r="K265" s="1428"/>
      <c r="L265" s="152"/>
      <c r="M265" s="279"/>
      <c r="N265" s="272"/>
      <c r="O265" s="1552"/>
      <c r="P265" s="1552"/>
      <c r="AH265" s="1559">
        <v>0</v>
      </c>
    </row>
    <row r="266" spans="1:34" s="1563" customFormat="1" ht="18.75" hidden="1" customHeight="1">
      <c r="A266" s="1707" t="s">
        <v>273</v>
      </c>
      <c r="B266" s="1707" t="s">
        <v>274</v>
      </c>
      <c r="C266" s="307"/>
      <c r="D266" s="2348"/>
      <c r="E266" s="2150"/>
      <c r="F266" s="2282" t="str">
        <f>INDEX(PT_DIFFERENTIATION_VTAR,MATCH(A266,PT_DIFFERENTIATION_VTAR_ID,0))</f>
        <v>Тариф на подключение (технологическое присоединение) к централизованной системе водоотведения</v>
      </c>
      <c r="G266" s="2323" t="str">
        <f>INDEX(PT_DIFFERENTIATION_NTAR,MATCH(B266,PT_DIFFERENTIATION_NTAR_ID,0))</f>
        <v/>
      </c>
      <c r="H266" s="1788"/>
      <c r="I266" s="1666"/>
      <c r="J266" s="1700"/>
      <c r="K266" s="1705"/>
      <c r="L266" s="1788" t="s">
        <v>304</v>
      </c>
      <c r="M266" s="279"/>
      <c r="N266" s="272"/>
      <c r="O266" s="1552"/>
      <c r="P266" s="1552"/>
      <c r="AH266" s="1559">
        <v>0</v>
      </c>
    </row>
    <row r="267" spans="1:34" s="1563" customFormat="1" ht="18.75" hidden="1" customHeight="1">
      <c r="A267" s="1707"/>
      <c r="B267" s="1707"/>
      <c r="C267" s="307" t="s">
        <v>1145</v>
      </c>
      <c r="D267" s="2348"/>
      <c r="E267" s="2150"/>
      <c r="F267" s="2282"/>
      <c r="G267" s="2323"/>
      <c r="H267" s="1428"/>
      <c r="I267" s="589" t="s">
        <v>1144</v>
      </c>
      <c r="J267" s="509"/>
      <c r="K267" s="1428"/>
      <c r="L267" s="152"/>
      <c r="M267" s="279"/>
      <c r="N267" s="272"/>
      <c r="O267" s="1552"/>
      <c r="P267" s="1552"/>
      <c r="AH267" s="1559">
        <v>0</v>
      </c>
    </row>
    <row r="268" spans="1:34" s="1563" customFormat="1" ht="1.1499999999999999" customHeight="1">
      <c r="A268" s="1707"/>
      <c r="B268" s="1707"/>
      <c r="C268" s="307" t="s">
        <v>1152</v>
      </c>
      <c r="D268" s="2348"/>
      <c r="E268" s="2150"/>
      <c r="F268" s="2282"/>
      <c r="G268" s="338"/>
      <c r="H268" s="1428"/>
      <c r="I268" s="589"/>
      <c r="J268" s="509"/>
      <c r="K268" s="1428"/>
      <c r="L268" s="152"/>
      <c r="M268" s="279"/>
      <c r="N268" s="272"/>
      <c r="O268" s="1552"/>
      <c r="P268" s="1552"/>
      <c r="AH268" s="1559">
        <v>1</v>
      </c>
    </row>
    <row r="269" spans="1:34" ht="27.4" customHeight="1">
      <c r="A269" s="1707"/>
      <c r="B269" s="1707"/>
      <c r="D269" s="314"/>
      <c r="E269" s="85" t="s">
        <v>91</v>
      </c>
      <c r="F269" s="234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47"/>
      <c r="H269" s="2347"/>
      <c r="I269" s="2347"/>
      <c r="J269" s="2347"/>
      <c r="K269" s="2347"/>
      <c r="L269" s="2347"/>
      <c r="M269" s="235"/>
      <c r="N269" s="272"/>
      <c r="AH269" s="312">
        <v>26</v>
      </c>
    </row>
    <row r="270" spans="1:34" s="1563" customFormat="1" ht="60.75" hidden="1" customHeight="1">
      <c r="A270" s="1707" t="s">
        <v>155</v>
      </c>
      <c r="B270" s="1707" t="s">
        <v>156</v>
      </c>
      <c r="C270" s="307"/>
      <c r="D270" s="2348"/>
      <c r="E270" s="2150"/>
      <c r="F270" s="228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3" t="str">
        <f>INDEX(PT_DIFFERENTIATION_NTAR,MATCH(B270,PT_DIFFERENTIATION_NTAR_ID,0))</f>
        <v/>
      </c>
      <c r="H270" s="1788"/>
      <c r="I270" s="1666"/>
      <c r="J270" s="1700"/>
      <c r="K270" s="1705"/>
      <c r="L270" s="1788" t="s">
        <v>304</v>
      </c>
      <c r="M270"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2"/>
      <c r="P270" s="1552"/>
      <c r="AH270" s="1559">
        <v>0</v>
      </c>
    </row>
    <row r="271" spans="1:34" s="1563" customFormat="1" ht="18.75" hidden="1" customHeight="1">
      <c r="A271" s="1707"/>
      <c r="B271" s="1707"/>
      <c r="C271" s="307" t="s">
        <v>1145</v>
      </c>
      <c r="D271" s="2348"/>
      <c r="E271" s="2150"/>
      <c r="F271" s="2282"/>
      <c r="G271" s="2323"/>
      <c r="H271" s="1428"/>
      <c r="I271" s="589" t="s">
        <v>1144</v>
      </c>
      <c r="J271" s="509"/>
      <c r="K271" s="1428"/>
      <c r="L271" s="152"/>
      <c r="M271" s="2111"/>
      <c r="N271" s="272"/>
      <c r="O271" s="1552"/>
      <c r="P271" s="1552"/>
      <c r="AH271" s="1559">
        <v>0</v>
      </c>
    </row>
    <row r="272" spans="1:34" s="1563" customFormat="1" ht="0.75" hidden="1" customHeight="1">
      <c r="A272" s="1707"/>
      <c r="B272" s="1707"/>
      <c r="C272" s="307" t="s">
        <v>1152</v>
      </c>
      <c r="D272" s="2348"/>
      <c r="E272" s="2150"/>
      <c r="F272" s="2282"/>
      <c r="G272" s="338"/>
      <c r="H272" s="1428"/>
      <c r="I272" s="589"/>
      <c r="J272" s="509"/>
      <c r="K272" s="1428"/>
      <c r="L272" s="152"/>
      <c r="M272" s="2111"/>
      <c r="N272" s="272"/>
      <c r="O272" s="1552"/>
      <c r="P272" s="1552"/>
      <c r="AH272" s="1559">
        <v>0</v>
      </c>
    </row>
    <row r="273" spans="1:34" s="1563" customFormat="1" ht="45" hidden="1" customHeight="1">
      <c r="A273" s="1707" t="s">
        <v>160</v>
      </c>
      <c r="B273" s="1707" t="s">
        <v>161</v>
      </c>
      <c r="C273" s="307"/>
      <c r="D273" s="2348"/>
      <c r="E273" s="2150"/>
      <c r="F273" s="2282" t="str">
        <f>INDEX(PT_DIFFERENTIATION_VTAR,MATCH(A273,PT_DIFFERENTIATION_VTAR_ID,0))</f>
        <v/>
      </c>
      <c r="G273" s="2323" t="str">
        <f>INDEX(PT_DIFFERENTIATION_NTAR,MATCH(B273,PT_DIFFERENTIATION_NTAR_ID,0))</f>
        <v/>
      </c>
      <c r="H273" s="1788"/>
      <c r="I273" s="1666"/>
      <c r="J273" s="1700"/>
      <c r="K273" s="1705"/>
      <c r="L273" s="1788" t="s">
        <v>304</v>
      </c>
      <c r="M273" s="2112"/>
      <c r="N273" s="272"/>
      <c r="O273" s="1552"/>
      <c r="P273" s="1552"/>
      <c r="AH273" s="1559">
        <v>0</v>
      </c>
    </row>
    <row r="274" spans="1:34" s="1563" customFormat="1" ht="18.75" hidden="1" customHeight="1">
      <c r="A274" s="1707"/>
      <c r="B274" s="1707"/>
      <c r="C274" s="307" t="s">
        <v>1145</v>
      </c>
      <c r="D274" s="2348"/>
      <c r="E274" s="2150"/>
      <c r="F274" s="2282"/>
      <c r="G274" s="2323"/>
      <c r="H274" s="1428"/>
      <c r="I274" s="589" t="s">
        <v>1144</v>
      </c>
      <c r="J274" s="509"/>
      <c r="K274" s="1428"/>
      <c r="L274" s="152"/>
      <c r="M274" s="1787"/>
      <c r="N274" s="272"/>
      <c r="O274" s="1552"/>
      <c r="P274" s="1552"/>
      <c r="AH274" s="1559">
        <v>0</v>
      </c>
    </row>
    <row r="275" spans="1:34" s="1563" customFormat="1" ht="0.75" hidden="1" customHeight="1">
      <c r="A275" s="1707"/>
      <c r="B275" s="1707"/>
      <c r="C275" s="307" t="s">
        <v>1152</v>
      </c>
      <c r="D275" s="2348"/>
      <c r="E275" s="2150"/>
      <c r="F275" s="2282"/>
      <c r="G275" s="338"/>
      <c r="H275" s="1428"/>
      <c r="I275" s="589"/>
      <c r="J275" s="509"/>
      <c r="K275" s="1428"/>
      <c r="L275" s="152"/>
      <c r="M275" s="279"/>
      <c r="N275" s="272"/>
      <c r="O275" s="1552"/>
      <c r="P275" s="1552"/>
      <c r="AH275" s="1559">
        <v>0</v>
      </c>
    </row>
    <row r="276" spans="1:34" s="1563" customFormat="1" ht="45" hidden="1" customHeight="1">
      <c r="A276" s="1707" t="s">
        <v>167</v>
      </c>
      <c r="B276" s="1707" t="s">
        <v>168</v>
      </c>
      <c r="C276" s="307"/>
      <c r="D276" s="2348"/>
      <c r="E276" s="2150"/>
      <c r="F276" s="228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3" t="str">
        <f>INDEX(PT_DIFFERENTIATION_NTAR,MATCH(B276,PT_DIFFERENTIATION_NTAR_ID,0))</f>
        <v/>
      </c>
      <c r="H276" s="1788"/>
      <c r="I276" s="1666"/>
      <c r="J276" s="1700"/>
      <c r="K276" s="1705"/>
      <c r="L276" s="1788" t="s">
        <v>304</v>
      </c>
      <c r="M276" s="279"/>
      <c r="N276" s="272"/>
      <c r="O276" s="1552"/>
      <c r="P276" s="1552"/>
      <c r="AH276" s="1559">
        <v>0</v>
      </c>
    </row>
    <row r="277" spans="1:34" s="1563" customFormat="1" ht="18.75" hidden="1" customHeight="1">
      <c r="A277" s="1707"/>
      <c r="B277" s="1707"/>
      <c r="C277" s="307" t="s">
        <v>1145</v>
      </c>
      <c r="D277" s="2348"/>
      <c r="E277" s="2150"/>
      <c r="F277" s="2282"/>
      <c r="G277" s="2323"/>
      <c r="H277" s="1428"/>
      <c r="I277" s="589" t="s">
        <v>1144</v>
      </c>
      <c r="J277" s="509"/>
      <c r="K277" s="1428"/>
      <c r="L277" s="152"/>
      <c r="M277" s="279"/>
      <c r="N277" s="272"/>
      <c r="O277" s="1552"/>
      <c r="P277" s="1552"/>
      <c r="AH277" s="1559">
        <v>0</v>
      </c>
    </row>
    <row r="278" spans="1:34" s="1563" customFormat="1" ht="0.75" hidden="1" customHeight="1">
      <c r="A278" s="1707"/>
      <c r="B278" s="1707"/>
      <c r="C278" s="307" t="s">
        <v>1152</v>
      </c>
      <c r="D278" s="2348"/>
      <c r="E278" s="2150"/>
      <c r="F278" s="2282"/>
      <c r="G278" s="338"/>
      <c r="H278" s="1428"/>
      <c r="I278" s="589"/>
      <c r="J278" s="509"/>
      <c r="K278" s="1428"/>
      <c r="L278" s="152"/>
      <c r="M278" s="279"/>
      <c r="N278" s="272"/>
      <c r="O278" s="1552"/>
      <c r="P278" s="1552"/>
      <c r="AH278" s="1559">
        <v>0</v>
      </c>
    </row>
    <row r="279" spans="1:34" s="1563" customFormat="1" ht="45" hidden="1" customHeight="1">
      <c r="A279" s="1707" t="s">
        <v>173</v>
      </c>
      <c r="B279" s="1707" t="s">
        <v>174</v>
      </c>
      <c r="C279" s="307"/>
      <c r="D279" s="2348"/>
      <c r="E279" s="2150"/>
      <c r="F279" s="228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3" t="str">
        <f>INDEX(PT_DIFFERENTIATION_NTAR,MATCH(B279,PT_DIFFERENTIATION_NTAR_ID,0))</f>
        <v/>
      </c>
      <c r="H279" s="1788"/>
      <c r="I279" s="1666"/>
      <c r="J279" s="1700"/>
      <c r="K279" s="1705"/>
      <c r="L279" s="1788" t="s">
        <v>304</v>
      </c>
      <c r="M279" s="279"/>
      <c r="N279" s="272"/>
      <c r="O279" s="1552"/>
      <c r="P279" s="1552"/>
      <c r="AH279" s="1559">
        <v>0</v>
      </c>
    </row>
    <row r="280" spans="1:34" s="1563" customFormat="1" ht="18.75" hidden="1" customHeight="1">
      <c r="A280" s="1707"/>
      <c r="B280" s="1707"/>
      <c r="C280" s="307" t="s">
        <v>1145</v>
      </c>
      <c r="D280" s="2348"/>
      <c r="E280" s="2150"/>
      <c r="F280" s="2282"/>
      <c r="G280" s="2323"/>
      <c r="H280" s="1428"/>
      <c r="I280" s="589" t="s">
        <v>1144</v>
      </c>
      <c r="J280" s="509"/>
      <c r="K280" s="1428"/>
      <c r="L280" s="152"/>
      <c r="M280" s="279"/>
      <c r="N280" s="272"/>
      <c r="O280" s="1552"/>
      <c r="P280" s="1552"/>
      <c r="AH280" s="1559">
        <v>0</v>
      </c>
    </row>
    <row r="281" spans="1:34" s="1563" customFormat="1" ht="0.75" hidden="1" customHeight="1">
      <c r="A281" s="1707"/>
      <c r="B281" s="1707"/>
      <c r="C281" s="307" t="s">
        <v>1152</v>
      </c>
      <c r="D281" s="2348"/>
      <c r="E281" s="2150"/>
      <c r="F281" s="2282"/>
      <c r="G281" s="338"/>
      <c r="H281" s="1428"/>
      <c r="I281" s="589"/>
      <c r="J281" s="509"/>
      <c r="K281" s="1428"/>
      <c r="L281" s="152"/>
      <c r="M281" s="279"/>
      <c r="N281" s="272"/>
      <c r="O281" s="1552"/>
      <c r="P281" s="1552"/>
      <c r="AH281" s="1559">
        <v>0</v>
      </c>
    </row>
    <row r="282" spans="1:34" s="1563" customFormat="1" ht="18.75" hidden="1" customHeight="1">
      <c r="A282" s="1707" t="s">
        <v>179</v>
      </c>
      <c r="B282" s="1707" t="s">
        <v>180</v>
      </c>
      <c r="C282" s="307"/>
      <c r="D282" s="2348"/>
      <c r="E282" s="2150"/>
      <c r="F282" s="2282" t="str">
        <f>INDEX(PT_DIFFERENTIATION_VTAR,MATCH(A282,PT_DIFFERENTIATION_VTAR_ID,0))</f>
        <v>Тарифы на услуги по передаче тепловой энергии</v>
      </c>
      <c r="G282" s="2323" t="str">
        <f>INDEX(PT_DIFFERENTIATION_NTAR,MATCH(B282,PT_DIFFERENTIATION_NTAR_ID,0))</f>
        <v/>
      </c>
      <c r="H282" s="1788"/>
      <c r="I282" s="1666"/>
      <c r="J282" s="1700"/>
      <c r="K282" s="1705"/>
      <c r="L282" s="1788" t="s">
        <v>304</v>
      </c>
      <c r="M282" s="279"/>
      <c r="N282" s="272"/>
      <c r="O282" s="1552"/>
      <c r="P282" s="1552"/>
      <c r="AH282" s="1559">
        <v>0</v>
      </c>
    </row>
    <row r="283" spans="1:34" s="1563" customFormat="1" ht="18.75" hidden="1" customHeight="1">
      <c r="A283" s="1707"/>
      <c r="B283" s="1707"/>
      <c r="C283" s="307" t="s">
        <v>1145</v>
      </c>
      <c r="D283" s="2348"/>
      <c r="E283" s="2150"/>
      <c r="F283" s="2282"/>
      <c r="G283" s="2323"/>
      <c r="H283" s="1428"/>
      <c r="I283" s="589" t="s">
        <v>1144</v>
      </c>
      <c r="J283" s="509"/>
      <c r="K283" s="1428"/>
      <c r="L283" s="152"/>
      <c r="M283" s="279"/>
      <c r="N283" s="272"/>
      <c r="O283" s="1552"/>
      <c r="P283" s="1552"/>
      <c r="AH283" s="1559">
        <v>0</v>
      </c>
    </row>
    <row r="284" spans="1:34" s="1563" customFormat="1" ht="0.75" hidden="1" customHeight="1">
      <c r="A284" s="1707"/>
      <c r="B284" s="1707"/>
      <c r="C284" s="307" t="s">
        <v>1152</v>
      </c>
      <c r="D284" s="2348"/>
      <c r="E284" s="2150"/>
      <c r="F284" s="2282"/>
      <c r="G284" s="338"/>
      <c r="H284" s="1428"/>
      <c r="I284" s="589"/>
      <c r="J284" s="509"/>
      <c r="K284" s="1428"/>
      <c r="L284" s="152"/>
      <c r="M284" s="279"/>
      <c r="N284" s="272"/>
      <c r="O284" s="1552"/>
      <c r="P284" s="1552"/>
      <c r="AH284" s="1559">
        <v>0</v>
      </c>
    </row>
    <row r="285" spans="1:34" s="1563" customFormat="1" ht="18.75" hidden="1" customHeight="1">
      <c r="A285" s="1707" t="s">
        <v>185</v>
      </c>
      <c r="B285" s="1707" t="s">
        <v>186</v>
      </c>
      <c r="C285" s="307"/>
      <c r="D285" s="2348"/>
      <c r="E285" s="2150"/>
      <c r="F285" s="2282" t="str">
        <f>INDEX(PT_DIFFERENTIATION_VTAR,MATCH(A285,PT_DIFFERENTIATION_VTAR_ID,0))</f>
        <v>Тарифы на услуги по передаче теплоносителя</v>
      </c>
      <c r="G285" s="2323" t="str">
        <f>INDEX(PT_DIFFERENTIATION_NTAR,MATCH(B285,PT_DIFFERENTIATION_NTAR_ID,0))</f>
        <v/>
      </c>
      <c r="H285" s="1788"/>
      <c r="I285" s="1666"/>
      <c r="J285" s="1700"/>
      <c r="K285" s="1705"/>
      <c r="L285" s="1788" t="s">
        <v>304</v>
      </c>
      <c r="M285" s="279"/>
      <c r="N285" s="272"/>
      <c r="O285" s="1552"/>
      <c r="P285" s="1552"/>
      <c r="AH285" s="1559">
        <v>0</v>
      </c>
    </row>
    <row r="286" spans="1:34" s="1563" customFormat="1" ht="18.75" hidden="1" customHeight="1">
      <c r="A286" s="1707"/>
      <c r="B286" s="1707"/>
      <c r="C286" s="307" t="s">
        <v>1145</v>
      </c>
      <c r="D286" s="2348"/>
      <c r="E286" s="2150"/>
      <c r="F286" s="2282"/>
      <c r="G286" s="2323"/>
      <c r="H286" s="1428"/>
      <c r="I286" s="589" t="s">
        <v>1144</v>
      </c>
      <c r="J286" s="509"/>
      <c r="K286" s="1428"/>
      <c r="L286" s="152"/>
      <c r="M286" s="279"/>
      <c r="N286" s="272"/>
      <c r="O286" s="1552"/>
      <c r="P286" s="1552"/>
      <c r="AH286" s="1559">
        <v>0</v>
      </c>
    </row>
    <row r="287" spans="1:34" s="1563" customFormat="1" ht="0.75" hidden="1" customHeight="1">
      <c r="A287" s="1707"/>
      <c r="B287" s="1707"/>
      <c r="C287" s="307" t="s">
        <v>1152</v>
      </c>
      <c r="D287" s="2348"/>
      <c r="E287" s="2150"/>
      <c r="F287" s="2282"/>
      <c r="G287" s="338"/>
      <c r="H287" s="1428"/>
      <c r="I287" s="589"/>
      <c r="J287" s="509"/>
      <c r="K287" s="1428"/>
      <c r="L287" s="152"/>
      <c r="M287" s="279"/>
      <c r="N287" s="272"/>
      <c r="O287" s="1552"/>
      <c r="P287" s="1552"/>
      <c r="AH287" s="1559">
        <v>0</v>
      </c>
    </row>
    <row r="288" spans="1:34" s="1563" customFormat="1" ht="18.75" hidden="1" customHeight="1">
      <c r="A288" s="1707" t="s">
        <v>191</v>
      </c>
      <c r="B288" s="1707" t="s">
        <v>192</v>
      </c>
      <c r="C288" s="307"/>
      <c r="D288" s="2348"/>
      <c r="E288" s="2150"/>
      <c r="F288" s="228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3" t="str">
        <f>INDEX(PT_DIFFERENTIATION_NTAR,MATCH(B288,PT_DIFFERENTIATION_NTAR_ID,0))</f>
        <v/>
      </c>
      <c r="H288" s="1788"/>
      <c r="I288" s="1666"/>
      <c r="J288" s="1700"/>
      <c r="K288" s="1705"/>
      <c r="L288" s="1788" t="s">
        <v>304</v>
      </c>
      <c r="M288" s="279"/>
      <c r="N288" s="272"/>
      <c r="O288" s="1552"/>
      <c r="P288" s="1552"/>
      <c r="AH288" s="1559">
        <v>0</v>
      </c>
    </row>
    <row r="289" spans="1:34" s="1563" customFormat="1" ht="18.75" hidden="1" customHeight="1">
      <c r="A289" s="1707"/>
      <c r="B289" s="1707"/>
      <c r="C289" s="307" t="s">
        <v>1145</v>
      </c>
      <c r="D289" s="2348"/>
      <c r="E289" s="2150"/>
      <c r="F289" s="2282"/>
      <c r="G289" s="2323"/>
      <c r="H289" s="1428"/>
      <c r="I289" s="589" t="s">
        <v>1144</v>
      </c>
      <c r="J289" s="509"/>
      <c r="K289" s="1428"/>
      <c r="L289" s="152"/>
      <c r="M289" s="279"/>
      <c r="N289" s="272"/>
      <c r="O289" s="1552"/>
      <c r="P289" s="1552"/>
      <c r="AH289" s="1559">
        <v>0</v>
      </c>
    </row>
    <row r="290" spans="1:34" s="1563" customFormat="1" ht="0.75" hidden="1" customHeight="1">
      <c r="A290" s="1707"/>
      <c r="B290" s="1707"/>
      <c r="C290" s="307" t="s">
        <v>1152</v>
      </c>
      <c r="D290" s="2348"/>
      <c r="E290" s="2150"/>
      <c r="F290" s="2282"/>
      <c r="G290" s="338"/>
      <c r="H290" s="1428"/>
      <c r="I290" s="589"/>
      <c r="J290" s="509"/>
      <c r="K290" s="1428"/>
      <c r="L290" s="152"/>
      <c r="M290" s="279"/>
      <c r="N290" s="272"/>
      <c r="O290" s="1552"/>
      <c r="P290" s="1552"/>
      <c r="AH290" s="1559">
        <v>0</v>
      </c>
    </row>
    <row r="291" spans="1:34" s="1563" customFormat="1" ht="18.75" hidden="1" customHeight="1">
      <c r="A291" s="1707" t="s">
        <v>197</v>
      </c>
      <c r="B291" s="1707" t="s">
        <v>198</v>
      </c>
      <c r="C291" s="307"/>
      <c r="D291" s="2348"/>
      <c r="E291" s="2150"/>
      <c r="F291" s="2282" t="str">
        <f>INDEX(PT_DIFFERENTIATION_VTAR,MATCH(A291,PT_DIFFERENTIATION_VTAR_ID,0))</f>
        <v>Плата за подключение (технологическое присоединение) к системе теплоснабжения</v>
      </c>
      <c r="G291" s="2323" t="str">
        <f>INDEX(PT_DIFFERENTIATION_NTAR,MATCH(B291,PT_DIFFERENTIATION_NTAR_ID,0))</f>
        <v/>
      </c>
      <c r="H291" s="1788"/>
      <c r="I291" s="1666"/>
      <c r="J291" s="1700"/>
      <c r="K291" s="1705"/>
      <c r="L291" s="1788" t="s">
        <v>304</v>
      </c>
      <c r="M291" s="279"/>
      <c r="N291" s="272"/>
      <c r="O291" s="1552"/>
      <c r="P291" s="1552"/>
      <c r="AH291" s="1559">
        <v>0</v>
      </c>
    </row>
    <row r="292" spans="1:34" s="1563" customFormat="1" ht="18.75" hidden="1" customHeight="1">
      <c r="A292" s="1707"/>
      <c r="B292" s="1707"/>
      <c r="C292" s="307" t="s">
        <v>1145</v>
      </c>
      <c r="D292" s="2348"/>
      <c r="E292" s="2150"/>
      <c r="F292" s="2282"/>
      <c r="G292" s="2323"/>
      <c r="H292" s="1428"/>
      <c r="I292" s="589" t="s">
        <v>1144</v>
      </c>
      <c r="J292" s="509"/>
      <c r="K292" s="1428"/>
      <c r="L292" s="152"/>
      <c r="M292" s="279"/>
      <c r="N292" s="272"/>
      <c r="O292" s="1552"/>
      <c r="P292" s="1552"/>
      <c r="AH292" s="1559">
        <v>0</v>
      </c>
    </row>
    <row r="293" spans="1:34" s="1563" customFormat="1" ht="0.75" hidden="1" customHeight="1">
      <c r="A293" s="1707"/>
      <c r="B293" s="1707"/>
      <c r="C293" s="307" t="s">
        <v>1152</v>
      </c>
      <c r="D293" s="2348"/>
      <c r="E293" s="2150"/>
      <c r="F293" s="2282"/>
      <c r="G293" s="338"/>
      <c r="H293" s="1428"/>
      <c r="I293" s="589"/>
      <c r="J293" s="509"/>
      <c r="K293" s="1428"/>
      <c r="L293" s="152"/>
      <c r="M293" s="279"/>
      <c r="N293" s="272"/>
      <c r="O293" s="1552"/>
      <c r="P293" s="1552"/>
      <c r="AH293" s="1559">
        <v>0</v>
      </c>
    </row>
    <row r="294" spans="1:34" s="1563" customFormat="1" ht="18.75" hidden="1" customHeight="1">
      <c r="A294" s="1707" t="s">
        <v>203</v>
      </c>
      <c r="B294" s="1707" t="s">
        <v>204</v>
      </c>
      <c r="C294" s="307"/>
      <c r="D294" s="2348"/>
      <c r="E294" s="2150"/>
      <c r="F294" s="2282" t="str">
        <f>INDEX(PT_DIFFERENTIATION_VTAR,MATCH(A294,PT_DIFFERENTIATION_VTAR_ID,0))</f>
        <v>Плата за подключение (технологическое присоединение) к системе теплоснабжения (индивидуальная)</v>
      </c>
      <c r="G294" s="2323" t="str">
        <f>INDEX(PT_DIFFERENTIATION_NTAR,MATCH(B294,PT_DIFFERENTIATION_NTAR_ID,0))</f>
        <v/>
      </c>
      <c r="H294" s="1912"/>
      <c r="I294" s="1666"/>
      <c r="J294" s="1700"/>
      <c r="K294" s="1705"/>
      <c r="L294" s="1912" t="s">
        <v>304</v>
      </c>
      <c r="M294" s="279"/>
      <c r="N294" s="272"/>
      <c r="O294" s="1552"/>
      <c r="P294" s="1552"/>
      <c r="AH294" s="1559">
        <v>0</v>
      </c>
    </row>
    <row r="295" spans="1:34" s="1563" customFormat="1" ht="18.75" hidden="1" customHeight="1">
      <c r="A295" s="1707"/>
      <c r="B295" s="1707"/>
      <c r="C295" s="307" t="s">
        <v>1145</v>
      </c>
      <c r="D295" s="2348"/>
      <c r="E295" s="2150"/>
      <c r="F295" s="2282"/>
      <c r="G295" s="2323"/>
      <c r="H295" s="1428"/>
      <c r="I295" s="589" t="s">
        <v>1144</v>
      </c>
      <c r="J295" s="509"/>
      <c r="K295" s="1428"/>
      <c r="L295" s="152"/>
      <c r="M295" s="279"/>
      <c r="N295" s="272"/>
      <c r="O295" s="1552"/>
      <c r="P295" s="1552"/>
      <c r="AH295" s="1559">
        <v>0</v>
      </c>
    </row>
    <row r="296" spans="1:34" s="1563" customFormat="1" ht="0.75" hidden="1" customHeight="1">
      <c r="A296" s="1707"/>
      <c r="B296" s="1707"/>
      <c r="C296" s="307" t="s">
        <v>1152</v>
      </c>
      <c r="D296" s="2348"/>
      <c r="E296" s="2150"/>
      <c r="F296" s="2282"/>
      <c r="G296" s="338"/>
      <c r="H296" s="1428"/>
      <c r="I296" s="589"/>
      <c r="J296" s="509"/>
      <c r="K296" s="1428"/>
      <c r="L296" s="152"/>
      <c r="M296" s="279"/>
      <c r="N296" s="272"/>
      <c r="O296" s="1552"/>
      <c r="P296" s="1552"/>
      <c r="AH296" s="1559">
        <v>0</v>
      </c>
    </row>
    <row r="297" spans="1:34" s="1563" customFormat="1" ht="18.75" hidden="1" customHeight="1">
      <c r="A297" s="1707" t="s">
        <v>223</v>
      </c>
      <c r="B297" s="1707" t="s">
        <v>224</v>
      </c>
      <c r="C297" s="307"/>
      <c r="D297" s="2348"/>
      <c r="E297" s="2150"/>
      <c r="F297" s="2282" t="str">
        <f>INDEX(PT_DIFFERENTIATION_VTAR,MATCH(A297,PT_DIFFERENTIATION_VTAR_ID,0))</f>
        <v>Тариф на питьевую воду (питьевое водоснабжение)</v>
      </c>
      <c r="G297" s="2323" t="str">
        <f>INDEX(PT_DIFFERENTIATION_NTAR,MATCH(B297,PT_DIFFERENTIATION_NTAR_ID,0))</f>
        <v/>
      </c>
      <c r="H297" s="1788"/>
      <c r="I297" s="1666"/>
      <c r="J297" s="1700"/>
      <c r="K297" s="1705"/>
      <c r="L297" s="1788" t="s">
        <v>304</v>
      </c>
      <c r="M297" s="279"/>
      <c r="N297" s="272"/>
      <c r="O297" s="1552"/>
      <c r="P297" s="1552"/>
      <c r="AH297" s="1559">
        <v>0</v>
      </c>
    </row>
    <row r="298" spans="1:34" s="1563" customFormat="1" ht="18.75" hidden="1" customHeight="1">
      <c r="A298" s="1707"/>
      <c r="B298" s="1707"/>
      <c r="C298" s="307" t="s">
        <v>1145</v>
      </c>
      <c r="D298" s="2348"/>
      <c r="E298" s="2150"/>
      <c r="F298" s="2282"/>
      <c r="G298" s="2323"/>
      <c r="H298" s="1428"/>
      <c r="I298" s="589" t="s">
        <v>1144</v>
      </c>
      <c r="J298" s="509"/>
      <c r="K298" s="1428"/>
      <c r="L298" s="152"/>
      <c r="M298" s="279"/>
      <c r="N298" s="272"/>
      <c r="O298" s="1552"/>
      <c r="P298" s="1552"/>
      <c r="AH298" s="1559">
        <v>0</v>
      </c>
    </row>
    <row r="299" spans="1:34" s="1563" customFormat="1" ht="0.75" hidden="1" customHeight="1">
      <c r="A299" s="1707"/>
      <c r="B299" s="1707"/>
      <c r="C299" s="307" t="s">
        <v>1152</v>
      </c>
      <c r="D299" s="2348"/>
      <c r="E299" s="2150"/>
      <c r="F299" s="2282"/>
      <c r="G299" s="338"/>
      <c r="H299" s="1428"/>
      <c r="I299" s="589"/>
      <c r="J299" s="509"/>
      <c r="K299" s="1428"/>
      <c r="L299" s="152"/>
      <c r="M299" s="279"/>
      <c r="N299" s="272"/>
      <c r="O299" s="1552"/>
      <c r="P299" s="1552"/>
      <c r="AH299" s="1559">
        <v>0</v>
      </c>
    </row>
    <row r="300" spans="1:34" s="1563" customFormat="1" ht="18.75" hidden="1" customHeight="1">
      <c r="A300" s="1707" t="s">
        <v>228</v>
      </c>
      <c r="B300" s="1707" t="s">
        <v>229</v>
      </c>
      <c r="C300" s="307"/>
      <c r="D300" s="2348"/>
      <c r="E300" s="2150"/>
      <c r="F300" s="2282" t="str">
        <f>INDEX(PT_DIFFERENTIATION_VTAR,MATCH(A300,PT_DIFFERENTIATION_VTAR_ID,0))</f>
        <v>Тариф на техническую воду</v>
      </c>
      <c r="G300" s="2323" t="str">
        <f>INDEX(PT_DIFFERENTIATION_NTAR,MATCH(B300,PT_DIFFERENTIATION_NTAR_ID,0))</f>
        <v/>
      </c>
      <c r="H300" s="1788"/>
      <c r="I300" s="1666"/>
      <c r="J300" s="1700"/>
      <c r="K300" s="1705"/>
      <c r="L300" s="1788" t="s">
        <v>304</v>
      </c>
      <c r="M300" s="279"/>
      <c r="N300" s="272"/>
      <c r="O300" s="1552"/>
      <c r="P300" s="1552"/>
      <c r="AH300" s="1559">
        <v>0</v>
      </c>
    </row>
    <row r="301" spans="1:34" s="1563" customFormat="1" ht="18.75" hidden="1" customHeight="1">
      <c r="A301" s="1707"/>
      <c r="B301" s="1707"/>
      <c r="C301" s="307" t="s">
        <v>1145</v>
      </c>
      <c r="D301" s="2348"/>
      <c r="E301" s="2150"/>
      <c r="F301" s="2282"/>
      <c r="G301" s="2323"/>
      <c r="H301" s="1428"/>
      <c r="I301" s="589" t="s">
        <v>1144</v>
      </c>
      <c r="J301" s="509"/>
      <c r="K301" s="1428"/>
      <c r="L301" s="152"/>
      <c r="M301" s="279"/>
      <c r="N301" s="272"/>
      <c r="O301" s="1552"/>
      <c r="P301" s="1552"/>
      <c r="AH301" s="1559">
        <v>0</v>
      </c>
    </row>
    <row r="302" spans="1:34" s="1563" customFormat="1" ht="0.75" hidden="1" customHeight="1">
      <c r="A302" s="1707"/>
      <c r="B302" s="1707"/>
      <c r="C302" s="307" t="s">
        <v>1152</v>
      </c>
      <c r="D302" s="2348"/>
      <c r="E302" s="2150"/>
      <c r="F302" s="2282"/>
      <c r="G302" s="338"/>
      <c r="H302" s="1428"/>
      <c r="I302" s="589"/>
      <c r="J302" s="509"/>
      <c r="K302" s="1428"/>
      <c r="L302" s="152"/>
      <c r="M302" s="279"/>
      <c r="N302" s="272"/>
      <c r="O302" s="1552"/>
      <c r="P302" s="1552"/>
      <c r="AH302" s="1559">
        <v>0</v>
      </c>
    </row>
    <row r="303" spans="1:34" s="1563" customFormat="1" ht="18.75" hidden="1" customHeight="1">
      <c r="A303" s="1707" t="s">
        <v>233</v>
      </c>
      <c r="B303" s="1707" t="s">
        <v>234</v>
      </c>
      <c r="C303" s="307"/>
      <c r="D303" s="2348"/>
      <c r="E303" s="2150"/>
      <c r="F303" s="2282" t="str">
        <f>INDEX(PT_DIFFERENTIATION_VTAR,MATCH(A303,PT_DIFFERENTIATION_VTAR_ID,0))</f>
        <v>Тариф на транспортировку воды</v>
      </c>
      <c r="G303" s="2323" t="str">
        <f>INDEX(PT_DIFFERENTIATION_NTAR,MATCH(B303,PT_DIFFERENTIATION_NTAR_ID,0))</f>
        <v/>
      </c>
      <c r="H303" s="1788"/>
      <c r="I303" s="1666"/>
      <c r="J303" s="1700"/>
      <c r="K303" s="1705"/>
      <c r="L303" s="1788" t="s">
        <v>304</v>
      </c>
      <c r="M303" s="279"/>
      <c r="N303" s="272"/>
      <c r="O303" s="1552"/>
      <c r="P303" s="1552"/>
      <c r="AH303" s="1559">
        <v>0</v>
      </c>
    </row>
    <row r="304" spans="1:34" s="1563" customFormat="1" ht="18.75" hidden="1" customHeight="1">
      <c r="A304" s="1707"/>
      <c r="B304" s="1707"/>
      <c r="C304" s="307" t="s">
        <v>1145</v>
      </c>
      <c r="D304" s="2348"/>
      <c r="E304" s="2150"/>
      <c r="F304" s="2282"/>
      <c r="G304" s="2323"/>
      <c r="H304" s="1428"/>
      <c r="I304" s="589" t="s">
        <v>1144</v>
      </c>
      <c r="J304" s="509"/>
      <c r="K304" s="1428"/>
      <c r="L304" s="152"/>
      <c r="M304" s="279"/>
      <c r="N304" s="272"/>
      <c r="O304" s="1552"/>
      <c r="P304" s="1552"/>
      <c r="AH304" s="1559">
        <v>0</v>
      </c>
    </row>
    <row r="305" spans="1:34" s="1563" customFormat="1" ht="0.75" hidden="1" customHeight="1">
      <c r="A305" s="1707"/>
      <c r="B305" s="1707"/>
      <c r="C305" s="307" t="s">
        <v>1152</v>
      </c>
      <c r="D305" s="2348"/>
      <c r="E305" s="2150"/>
      <c r="F305" s="2282"/>
      <c r="G305" s="338"/>
      <c r="H305" s="1428"/>
      <c r="I305" s="589"/>
      <c r="J305" s="509"/>
      <c r="K305" s="1428"/>
      <c r="L305" s="152"/>
      <c r="M305" s="279"/>
      <c r="N305" s="272"/>
      <c r="O305" s="1552"/>
      <c r="P305" s="1552"/>
      <c r="AH305" s="1559">
        <v>0</v>
      </c>
    </row>
    <row r="306" spans="1:34" s="1563" customFormat="1" ht="18.75" hidden="1" customHeight="1">
      <c r="A306" s="1707" t="s">
        <v>238</v>
      </c>
      <c r="B306" s="1707" t="s">
        <v>239</v>
      </c>
      <c r="C306" s="307"/>
      <c r="D306" s="2348"/>
      <c r="E306" s="2150"/>
      <c r="F306" s="2282" t="str">
        <f>INDEX(PT_DIFFERENTIATION_VTAR,MATCH(A306,PT_DIFFERENTIATION_VTAR_ID,0))</f>
        <v>Тариф на подвоз воды</v>
      </c>
      <c r="G306" s="2323" t="str">
        <f>INDEX(PT_DIFFERENTIATION_NTAR,MATCH(B306,PT_DIFFERENTIATION_NTAR_ID,0))</f>
        <v/>
      </c>
      <c r="H306" s="1788"/>
      <c r="I306" s="1666"/>
      <c r="J306" s="1700"/>
      <c r="K306" s="1705"/>
      <c r="L306" s="1788" t="s">
        <v>304</v>
      </c>
      <c r="M306" s="279"/>
      <c r="N306" s="272"/>
      <c r="O306" s="1552"/>
      <c r="P306" s="1552"/>
      <c r="AH306" s="1559">
        <v>0</v>
      </c>
    </row>
    <row r="307" spans="1:34" s="1563" customFormat="1" ht="18.75" hidden="1" customHeight="1">
      <c r="A307" s="1707"/>
      <c r="B307" s="1707"/>
      <c r="C307" s="307" t="s">
        <v>1145</v>
      </c>
      <c r="D307" s="2348"/>
      <c r="E307" s="2150"/>
      <c r="F307" s="2282"/>
      <c r="G307" s="2323"/>
      <c r="H307" s="1428"/>
      <c r="I307" s="589" t="s">
        <v>1144</v>
      </c>
      <c r="J307" s="509"/>
      <c r="K307" s="1428"/>
      <c r="L307" s="152"/>
      <c r="M307" s="279"/>
      <c r="N307" s="272"/>
      <c r="O307" s="1552"/>
      <c r="P307" s="1552"/>
      <c r="AH307" s="1559">
        <v>0</v>
      </c>
    </row>
    <row r="308" spans="1:34" s="1563" customFormat="1" ht="0.75" hidden="1" customHeight="1">
      <c r="A308" s="1707"/>
      <c r="B308" s="1707"/>
      <c r="C308" s="307" t="s">
        <v>1152</v>
      </c>
      <c r="D308" s="2348"/>
      <c r="E308" s="2150"/>
      <c r="F308" s="2282"/>
      <c r="G308" s="338"/>
      <c r="H308" s="1428"/>
      <c r="I308" s="589"/>
      <c r="J308" s="509"/>
      <c r="K308" s="1428"/>
      <c r="L308" s="152"/>
      <c r="M308" s="279"/>
      <c r="N308" s="272"/>
      <c r="O308" s="1552"/>
      <c r="P308" s="1552"/>
      <c r="AH308" s="1559">
        <v>0</v>
      </c>
    </row>
    <row r="309" spans="1:34" s="1563" customFormat="1" ht="18.75" hidden="1" customHeight="1">
      <c r="A309" s="1707" t="s">
        <v>243</v>
      </c>
      <c r="B309" s="1707" t="s">
        <v>244</v>
      </c>
      <c r="C309" s="307"/>
      <c r="D309" s="2348"/>
      <c r="E309" s="2150"/>
      <c r="F309" s="228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3" t="str">
        <f>INDEX(PT_DIFFERENTIATION_NTAR,MATCH(B309,PT_DIFFERENTIATION_NTAR_ID,0))</f>
        <v/>
      </c>
      <c r="H309" s="1788"/>
      <c r="I309" s="1666"/>
      <c r="J309" s="1700"/>
      <c r="K309" s="1705"/>
      <c r="L309" s="1788" t="s">
        <v>304</v>
      </c>
      <c r="M309" s="279"/>
      <c r="N309" s="272"/>
      <c r="O309" s="1552"/>
      <c r="P309" s="1552"/>
      <c r="AH309" s="1559">
        <v>0</v>
      </c>
    </row>
    <row r="310" spans="1:34" s="1563" customFormat="1" ht="18.75" hidden="1" customHeight="1">
      <c r="A310" s="1707"/>
      <c r="B310" s="1707"/>
      <c r="C310" s="307" t="s">
        <v>1145</v>
      </c>
      <c r="D310" s="2348"/>
      <c r="E310" s="2150"/>
      <c r="F310" s="2282"/>
      <c r="G310" s="2323"/>
      <c r="H310" s="1428"/>
      <c r="I310" s="589" t="s">
        <v>1144</v>
      </c>
      <c r="J310" s="509"/>
      <c r="K310" s="1428"/>
      <c r="L310" s="152"/>
      <c r="M310" s="279"/>
      <c r="N310" s="272"/>
      <c r="O310" s="1552"/>
      <c r="P310" s="1552"/>
      <c r="AH310" s="1559">
        <v>0</v>
      </c>
    </row>
    <row r="311" spans="1:34" s="1563" customFormat="1" ht="0.75" hidden="1" customHeight="1">
      <c r="A311" s="1707"/>
      <c r="B311" s="1707"/>
      <c r="C311" s="307" t="s">
        <v>1152</v>
      </c>
      <c r="D311" s="2348"/>
      <c r="E311" s="2150"/>
      <c r="F311" s="2282"/>
      <c r="G311" s="338"/>
      <c r="H311" s="1428"/>
      <c r="I311" s="589"/>
      <c r="J311" s="509"/>
      <c r="K311" s="1428"/>
      <c r="L311" s="152"/>
      <c r="M311" s="279"/>
      <c r="N311" s="272"/>
      <c r="O311" s="1552"/>
      <c r="P311" s="1552"/>
      <c r="AH311" s="1559">
        <v>0</v>
      </c>
    </row>
    <row r="312" spans="1:34" s="1563" customFormat="1" ht="18.75" hidden="1" customHeight="1">
      <c r="A312" s="1707" t="s">
        <v>248</v>
      </c>
      <c r="B312" s="1707" t="s">
        <v>249</v>
      </c>
      <c r="C312" s="307"/>
      <c r="D312" s="2348"/>
      <c r="E312" s="2150"/>
      <c r="F312" s="2282" t="str">
        <f>INDEX(PT_DIFFERENTIATION_VTAR,MATCH(A312,PT_DIFFERENTIATION_VTAR_ID,0))</f>
        <v>Тариф на горячую воду (горячее водоснабжение)</v>
      </c>
      <c r="G312" s="2323" t="str">
        <f>INDEX(PT_DIFFERENTIATION_NTAR,MATCH(B312,PT_DIFFERENTIATION_NTAR_ID,0))</f>
        <v/>
      </c>
      <c r="H312" s="1788"/>
      <c r="I312" s="1666"/>
      <c r="J312" s="1700"/>
      <c r="K312" s="1705"/>
      <c r="L312" s="1788" t="s">
        <v>304</v>
      </c>
      <c r="M312" s="279"/>
      <c r="N312" s="272"/>
      <c r="O312" s="1552"/>
      <c r="P312" s="1552"/>
      <c r="AH312" s="1559">
        <v>0</v>
      </c>
    </row>
    <row r="313" spans="1:34" s="1563" customFormat="1" ht="18.75" hidden="1" customHeight="1">
      <c r="A313" s="1707"/>
      <c r="B313" s="1707"/>
      <c r="C313" s="307" t="s">
        <v>1145</v>
      </c>
      <c r="D313" s="2348"/>
      <c r="E313" s="2150"/>
      <c r="F313" s="2282"/>
      <c r="G313" s="2323"/>
      <c r="H313" s="1428"/>
      <c r="I313" s="589" t="s">
        <v>1144</v>
      </c>
      <c r="J313" s="509"/>
      <c r="K313" s="1428"/>
      <c r="L313" s="152"/>
      <c r="M313" s="279"/>
      <c r="N313" s="272"/>
      <c r="O313" s="1552"/>
      <c r="P313" s="1552"/>
      <c r="AH313" s="1559">
        <v>0</v>
      </c>
    </row>
    <row r="314" spans="1:34" s="1563" customFormat="1" ht="0.75" hidden="1" customHeight="1">
      <c r="A314" s="1707"/>
      <c r="B314" s="1707"/>
      <c r="C314" s="307" t="s">
        <v>1152</v>
      </c>
      <c r="D314" s="2348"/>
      <c r="E314" s="2150"/>
      <c r="F314" s="2282"/>
      <c r="G314" s="338"/>
      <c r="H314" s="1428"/>
      <c r="I314" s="589"/>
      <c r="J314" s="509"/>
      <c r="K314" s="1428"/>
      <c r="L314" s="152"/>
      <c r="M314" s="279"/>
      <c r="N314" s="272"/>
      <c r="O314" s="1552"/>
      <c r="P314" s="1552"/>
      <c r="AH314" s="1559">
        <v>0</v>
      </c>
    </row>
    <row r="315" spans="1:34" s="1563" customFormat="1" ht="18.75" hidden="1" customHeight="1">
      <c r="A315" s="1707" t="s">
        <v>253</v>
      </c>
      <c r="B315" s="1707" t="s">
        <v>254</v>
      </c>
      <c r="C315" s="307"/>
      <c r="D315" s="2348"/>
      <c r="E315" s="2150"/>
      <c r="F315" s="2282" t="str">
        <f>INDEX(PT_DIFFERENTIATION_VTAR,MATCH(A315,PT_DIFFERENTIATION_VTAR_ID,0))</f>
        <v>Тариф на транспортировку горячей воды</v>
      </c>
      <c r="G315" s="2323" t="str">
        <f>INDEX(PT_DIFFERENTIATION_NTAR,MATCH(B315,PT_DIFFERENTIATION_NTAR_ID,0))</f>
        <v/>
      </c>
      <c r="H315" s="1788"/>
      <c r="I315" s="1666"/>
      <c r="J315" s="1700"/>
      <c r="K315" s="1705"/>
      <c r="L315" s="1788" t="s">
        <v>304</v>
      </c>
      <c r="M315" s="279"/>
      <c r="N315" s="272"/>
      <c r="O315" s="1552"/>
      <c r="P315" s="1552"/>
      <c r="AH315" s="1559">
        <v>0</v>
      </c>
    </row>
    <row r="316" spans="1:34" s="1563" customFormat="1" ht="18.75" hidden="1" customHeight="1">
      <c r="A316" s="1707"/>
      <c r="B316" s="1707"/>
      <c r="C316" s="307" t="s">
        <v>1145</v>
      </c>
      <c r="D316" s="2348"/>
      <c r="E316" s="2150"/>
      <c r="F316" s="2282"/>
      <c r="G316" s="2323"/>
      <c r="H316" s="1428"/>
      <c r="I316" s="589" t="s">
        <v>1144</v>
      </c>
      <c r="J316" s="509"/>
      <c r="K316" s="1428"/>
      <c r="L316" s="152"/>
      <c r="M316" s="279"/>
      <c r="N316" s="272"/>
      <c r="O316" s="1552"/>
      <c r="P316" s="1552"/>
      <c r="AH316" s="1559">
        <v>0</v>
      </c>
    </row>
    <row r="317" spans="1:34" s="1563" customFormat="1" ht="0.75" hidden="1" customHeight="1">
      <c r="A317" s="1707"/>
      <c r="B317" s="1707"/>
      <c r="C317" s="307" t="s">
        <v>1152</v>
      </c>
      <c r="D317" s="2348"/>
      <c r="E317" s="2150"/>
      <c r="F317" s="2282"/>
      <c r="G317" s="338"/>
      <c r="H317" s="1428"/>
      <c r="I317" s="589"/>
      <c r="J317" s="509"/>
      <c r="K317" s="1428"/>
      <c r="L317" s="152"/>
      <c r="M317" s="279"/>
      <c r="N317" s="272"/>
      <c r="O317" s="1552"/>
      <c r="P317" s="1552"/>
      <c r="AH317" s="1559">
        <v>0</v>
      </c>
    </row>
    <row r="318" spans="1:34" s="1563" customFormat="1" ht="18.75" hidden="1" customHeight="1">
      <c r="A318" s="1707" t="s">
        <v>258</v>
      </c>
      <c r="B318" s="1707" t="s">
        <v>259</v>
      </c>
      <c r="C318" s="307"/>
      <c r="D318" s="2348"/>
      <c r="E318" s="2150"/>
      <c r="F318" s="2282"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3" t="str">
        <f>INDEX(PT_DIFFERENTIATION_NTAR,MATCH(B318,PT_DIFFERENTIATION_NTAR_ID,0))</f>
        <v/>
      </c>
      <c r="H318" s="1788"/>
      <c r="I318" s="1666"/>
      <c r="J318" s="1700"/>
      <c r="K318" s="1705"/>
      <c r="L318" s="1788" t="s">
        <v>304</v>
      </c>
      <c r="M318" s="279"/>
      <c r="N318" s="272"/>
      <c r="O318" s="1552"/>
      <c r="P318" s="1552"/>
      <c r="AH318" s="1559">
        <v>0</v>
      </c>
    </row>
    <row r="319" spans="1:34" s="1563" customFormat="1" ht="18.75" hidden="1" customHeight="1">
      <c r="A319" s="1707"/>
      <c r="B319" s="1707"/>
      <c r="C319" s="307" t="s">
        <v>1145</v>
      </c>
      <c r="D319" s="2348"/>
      <c r="E319" s="2150"/>
      <c r="F319" s="2282"/>
      <c r="G319" s="2323"/>
      <c r="H319" s="1428"/>
      <c r="I319" s="589" t="s">
        <v>1144</v>
      </c>
      <c r="J319" s="509"/>
      <c r="K319" s="1428"/>
      <c r="L319" s="152"/>
      <c r="M319" s="279"/>
      <c r="N319" s="272"/>
      <c r="O319" s="1552"/>
      <c r="P319" s="1552"/>
      <c r="AH319" s="1559">
        <v>0</v>
      </c>
    </row>
    <row r="320" spans="1:34" s="1563" customFormat="1" ht="0.75" hidden="1" customHeight="1">
      <c r="A320" s="1707"/>
      <c r="B320" s="1707"/>
      <c r="C320" s="307" t="s">
        <v>1152</v>
      </c>
      <c r="D320" s="2348"/>
      <c r="E320" s="2150"/>
      <c r="F320" s="2282"/>
      <c r="G320" s="338"/>
      <c r="H320" s="1428"/>
      <c r="I320" s="589"/>
      <c r="J320" s="509"/>
      <c r="K320" s="1428"/>
      <c r="L320" s="152"/>
      <c r="M320" s="279"/>
      <c r="N320" s="272"/>
      <c r="O320" s="1552"/>
      <c r="P320" s="1552"/>
      <c r="AH320" s="1559">
        <v>0</v>
      </c>
    </row>
    <row r="321" spans="1:34" s="1563" customFormat="1" ht="18.75" hidden="1" customHeight="1">
      <c r="A321" s="1707" t="s">
        <v>263</v>
      </c>
      <c r="B321" s="1707" t="s">
        <v>264</v>
      </c>
      <c r="C321" s="307"/>
      <c r="D321" s="2348"/>
      <c r="E321" s="2150"/>
      <c r="F321" s="2282" t="str">
        <f>INDEX(PT_DIFFERENTIATION_VTAR,MATCH(A321,PT_DIFFERENTIATION_VTAR_ID,0))</f>
        <v>Тариф на водоотведение</v>
      </c>
      <c r="G321" s="2323" t="str">
        <f>INDEX(PT_DIFFERENTIATION_NTAR,MATCH(B321,PT_DIFFERENTIATION_NTAR_ID,0))</f>
        <v/>
      </c>
      <c r="H321" s="1788"/>
      <c r="I321" s="1666"/>
      <c r="J321" s="1700"/>
      <c r="K321" s="1705"/>
      <c r="L321" s="1788" t="s">
        <v>304</v>
      </c>
      <c r="M321" s="279"/>
      <c r="N321" s="272"/>
      <c r="O321" s="1552"/>
      <c r="P321" s="1552"/>
      <c r="AH321" s="1559">
        <v>0</v>
      </c>
    </row>
    <row r="322" spans="1:34" s="1563" customFormat="1" ht="18.75" hidden="1" customHeight="1">
      <c r="A322" s="1707"/>
      <c r="B322" s="1707"/>
      <c r="C322" s="307" t="s">
        <v>1145</v>
      </c>
      <c r="D322" s="2348"/>
      <c r="E322" s="2150"/>
      <c r="F322" s="2282"/>
      <c r="G322" s="2323"/>
      <c r="H322" s="1428"/>
      <c r="I322" s="589" t="s">
        <v>1144</v>
      </c>
      <c r="J322" s="509"/>
      <c r="K322" s="1428"/>
      <c r="L322" s="152"/>
      <c r="M322" s="279"/>
      <c r="N322" s="272"/>
      <c r="O322" s="1552"/>
      <c r="P322" s="1552"/>
      <c r="AH322" s="1559">
        <v>0</v>
      </c>
    </row>
    <row r="323" spans="1:34" s="1563" customFormat="1" ht="0.75" hidden="1" customHeight="1">
      <c r="A323" s="1707"/>
      <c r="B323" s="1707"/>
      <c r="C323" s="307" t="s">
        <v>1152</v>
      </c>
      <c r="D323" s="2348"/>
      <c r="E323" s="2150"/>
      <c r="F323" s="2282"/>
      <c r="G323" s="338"/>
      <c r="H323" s="1428"/>
      <c r="I323" s="589"/>
      <c r="J323" s="509"/>
      <c r="K323" s="1428"/>
      <c r="L323" s="152"/>
      <c r="M323" s="279"/>
      <c r="N323" s="272"/>
      <c r="O323" s="1552"/>
      <c r="P323" s="1552"/>
      <c r="AH323" s="1559">
        <v>0</v>
      </c>
    </row>
    <row r="324" spans="1:34" s="1563" customFormat="1" ht="18.75" hidden="1" customHeight="1">
      <c r="A324" s="1707" t="s">
        <v>268</v>
      </c>
      <c r="B324" s="1707" t="s">
        <v>269</v>
      </c>
      <c r="C324" s="307"/>
      <c r="D324" s="2348"/>
      <c r="E324" s="2150"/>
      <c r="F324" s="2282" t="str">
        <f>INDEX(PT_DIFFERENTIATION_VTAR,MATCH(A324,PT_DIFFERENTIATION_VTAR_ID,0))</f>
        <v>Тариф на транспортировку сточных вод</v>
      </c>
      <c r="G324" s="2323" t="str">
        <f>INDEX(PT_DIFFERENTIATION_NTAR,MATCH(B324,PT_DIFFERENTIATION_NTAR_ID,0))</f>
        <v/>
      </c>
      <c r="H324" s="1788"/>
      <c r="I324" s="1666"/>
      <c r="J324" s="1700"/>
      <c r="K324" s="1705"/>
      <c r="L324" s="1788" t="s">
        <v>304</v>
      </c>
      <c r="M324" s="279"/>
      <c r="N324" s="272"/>
      <c r="O324" s="1552"/>
      <c r="P324" s="1552"/>
      <c r="AH324" s="1559">
        <v>0</v>
      </c>
    </row>
    <row r="325" spans="1:34" s="1563" customFormat="1" ht="18.75" hidden="1" customHeight="1">
      <c r="A325" s="1707"/>
      <c r="B325" s="1707"/>
      <c r="C325" s="307" t="s">
        <v>1145</v>
      </c>
      <c r="D325" s="2348"/>
      <c r="E325" s="2150"/>
      <c r="F325" s="2282"/>
      <c r="G325" s="2323"/>
      <c r="H325" s="1428"/>
      <c r="I325" s="589" t="s">
        <v>1144</v>
      </c>
      <c r="J325" s="509"/>
      <c r="K325" s="1428"/>
      <c r="L325" s="152"/>
      <c r="M325" s="279"/>
      <c r="N325" s="272"/>
      <c r="O325" s="1552"/>
      <c r="P325" s="1552"/>
      <c r="AH325" s="1559">
        <v>0</v>
      </c>
    </row>
    <row r="326" spans="1:34" s="1563" customFormat="1" ht="0.75" hidden="1" customHeight="1">
      <c r="A326" s="1707"/>
      <c r="B326" s="1707"/>
      <c r="C326" s="307" t="s">
        <v>1152</v>
      </c>
      <c r="D326" s="2348"/>
      <c r="E326" s="2150"/>
      <c r="F326" s="2282"/>
      <c r="G326" s="338"/>
      <c r="H326" s="1428"/>
      <c r="I326" s="589"/>
      <c r="J326" s="509"/>
      <c r="K326" s="1428"/>
      <c r="L326" s="152"/>
      <c r="M326" s="279"/>
      <c r="N326" s="272"/>
      <c r="O326" s="1552"/>
      <c r="P326" s="1552"/>
      <c r="AH326" s="1559">
        <v>0</v>
      </c>
    </row>
    <row r="327" spans="1:34" s="1563" customFormat="1" ht="18.75" hidden="1" customHeight="1">
      <c r="A327" s="1707" t="s">
        <v>273</v>
      </c>
      <c r="B327" s="1707" t="s">
        <v>274</v>
      </c>
      <c r="C327" s="307"/>
      <c r="D327" s="2348"/>
      <c r="E327" s="2150"/>
      <c r="F327" s="2282" t="str">
        <f>INDEX(PT_DIFFERENTIATION_VTAR,MATCH(A327,PT_DIFFERENTIATION_VTAR_ID,0))</f>
        <v>Тариф на подключение (технологическое присоединение) к централизованной системе водоотведения</v>
      </c>
      <c r="G327" s="2323" t="str">
        <f>INDEX(PT_DIFFERENTIATION_NTAR,MATCH(B327,PT_DIFFERENTIATION_NTAR_ID,0))</f>
        <v/>
      </c>
      <c r="H327" s="1788"/>
      <c r="I327" s="1666"/>
      <c r="J327" s="1700"/>
      <c r="K327" s="1705"/>
      <c r="L327" s="1788" t="s">
        <v>304</v>
      </c>
      <c r="M327" s="279"/>
      <c r="N327" s="272"/>
      <c r="O327" s="1552"/>
      <c r="P327" s="1552"/>
      <c r="AH327" s="1559">
        <v>0</v>
      </c>
    </row>
    <row r="328" spans="1:34" s="1563" customFormat="1" ht="18.75" hidden="1" customHeight="1">
      <c r="A328" s="1707"/>
      <c r="B328" s="1707"/>
      <c r="C328" s="307" t="s">
        <v>1145</v>
      </c>
      <c r="D328" s="2348"/>
      <c r="E328" s="2150"/>
      <c r="F328" s="2282"/>
      <c r="G328" s="2323"/>
      <c r="H328" s="1428"/>
      <c r="I328" s="589" t="s">
        <v>1144</v>
      </c>
      <c r="J328" s="509"/>
      <c r="K328" s="1428"/>
      <c r="L328" s="152"/>
      <c r="M328" s="279"/>
      <c r="N328" s="272"/>
      <c r="O328" s="1552"/>
      <c r="P328" s="1552"/>
      <c r="AH328" s="1559">
        <v>0</v>
      </c>
    </row>
    <row r="329" spans="1:34" s="1563" customFormat="1" ht="1.1499999999999999" customHeight="1">
      <c r="A329" s="1707"/>
      <c r="B329" s="1707"/>
      <c r="C329" s="307" t="s">
        <v>1152</v>
      </c>
      <c r="D329" s="2348"/>
      <c r="E329" s="2150"/>
      <c r="F329" s="2282"/>
      <c r="G329" s="338"/>
      <c r="H329" s="1428"/>
      <c r="I329" s="589"/>
      <c r="J329" s="509"/>
      <c r="K329" s="1428"/>
      <c r="L329" s="152"/>
      <c r="M329" s="279"/>
      <c r="N329" s="272"/>
      <c r="O329" s="1552"/>
      <c r="P329" s="1552"/>
      <c r="AH329" s="1559">
        <v>1</v>
      </c>
    </row>
    <row r="330" spans="1:34" s="1749" customFormat="1" ht="3" customHeight="1">
      <c r="A330" s="1707"/>
      <c r="B330" s="1707"/>
      <c r="C330" s="1708"/>
      <c r="E330" s="340"/>
      <c r="F330" s="340"/>
      <c r="G330" s="340"/>
      <c r="H330" s="340"/>
      <c r="I330" s="340"/>
      <c r="J330" s="340"/>
      <c r="K330" s="340"/>
      <c r="L330" s="340"/>
      <c r="M330" s="340"/>
      <c r="O330" s="134"/>
      <c r="P330" s="134"/>
      <c r="AH330" s="79">
        <v>3</v>
      </c>
    </row>
    <row r="331" spans="1:34" ht="26.25" customHeight="1">
      <c r="E331" s="140"/>
      <c r="F331" s="2193"/>
      <c r="G331" s="2193"/>
      <c r="H331" s="2193"/>
      <c r="I331" s="2193"/>
      <c r="J331" s="2193"/>
      <c r="K331" s="2193"/>
      <c r="L331" s="2193"/>
      <c r="M331" s="2193"/>
      <c r="AH331" s="312">
        <v>25</v>
      </c>
    </row>
    <row r="332" spans="1:34" ht="14.25" hidden="1" customHeight="1">
      <c r="A332" s="1706" t="s">
        <v>81</v>
      </c>
      <c r="B332" s="1706">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3" hidden="1" customWidth="1"/>
    <col min="2" max="2" width="9.140625" style="1294" hidden="1" customWidth="1"/>
    <col min="3" max="3" width="3" style="282" customWidth="1"/>
    <col min="4" max="4" width="6" style="1563" customWidth="1"/>
    <col min="5" max="5" width="53" style="1563" customWidth="1"/>
    <col min="6" max="7" width="35" style="1563" customWidth="1"/>
    <col min="8" max="8" width="89" style="1563" customWidth="1"/>
    <col min="9" max="9" width="10" style="1563" customWidth="1"/>
    <col min="10" max="11" width="10" style="1552" customWidth="1"/>
    <col min="12" max="17" width="10" style="1563" customWidth="1"/>
    <col min="18" max="18" width="10.5703125" style="1563" hidden="1"/>
  </cols>
  <sheetData>
    <row r="1" spans="1:18" ht="22.5" hidden="1" customHeight="1">
      <c r="N1" s="193"/>
      <c r="O1" s="193"/>
      <c r="Q1" s="193"/>
      <c r="R1" s="312" t="s">
        <v>14</v>
      </c>
    </row>
    <row r="2" spans="1:18" s="1563" customFormat="1" ht="18.75" hidden="1" customHeight="1">
      <c r="A2" s="42"/>
      <c r="B2" s="1088"/>
      <c r="C2" s="1657" t="s">
        <v>687</v>
      </c>
      <c r="D2" s="1601"/>
      <c r="E2" s="1610"/>
      <c r="F2" s="195"/>
      <c r="G2" s="1089"/>
      <c r="H2" s="312"/>
      <c r="I2" s="1552"/>
      <c r="J2" s="1552"/>
      <c r="R2" s="1559">
        <v>0</v>
      </c>
    </row>
    <row r="3" spans="1:18" ht="14.25" hidden="1" customHeight="1">
      <c r="R3" s="312">
        <v>0</v>
      </c>
    </row>
    <row r="4" spans="1:18" ht="6.4" customHeight="1">
      <c r="C4" s="314"/>
      <c r="D4" s="301"/>
      <c r="E4" s="301"/>
      <c r="F4" s="301"/>
      <c r="G4" s="25"/>
      <c r="H4" s="25"/>
      <c r="R4" s="312">
        <v>6</v>
      </c>
    </row>
    <row r="5" spans="1:18" ht="34.5" customHeight="1">
      <c r="C5" s="314"/>
      <c r="D5" s="2116"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17"/>
      <c r="F5" s="2117"/>
      <c r="G5" s="2118"/>
      <c r="H5" s="204"/>
      <c r="R5" s="312">
        <v>33</v>
      </c>
    </row>
    <row r="6" spans="1:18" s="1563" customFormat="1" ht="18" customHeight="1">
      <c r="A6" s="1597"/>
      <c r="B6" s="1088"/>
      <c r="C6" s="314"/>
      <c r="D6" s="2169" t="str">
        <f>IF(org=0,"Не определено",org)</f>
        <v>ООО "Профит"</v>
      </c>
      <c r="E6" s="2170"/>
      <c r="F6" s="2170"/>
      <c r="G6" s="2171"/>
      <c r="H6" s="204"/>
      <c r="J6" s="1552"/>
      <c r="K6" s="1552"/>
      <c r="R6" s="1559">
        <v>17</v>
      </c>
    </row>
    <row r="7" spans="1:18" ht="14.65" customHeight="1">
      <c r="C7" s="314"/>
      <c r="D7" s="301"/>
      <c r="E7" s="327"/>
      <c r="F7" s="327"/>
      <c r="G7" s="690"/>
      <c r="H7" s="131"/>
      <c r="R7" s="312">
        <v>14</v>
      </c>
    </row>
    <row r="8" spans="1:18" ht="14.65" customHeight="1">
      <c r="C8" s="314"/>
      <c r="D8" s="2155" t="s">
        <v>298</v>
      </c>
      <c r="E8" s="2155"/>
      <c r="F8" s="2155"/>
      <c r="G8" s="2155"/>
      <c r="H8" s="2296" t="s">
        <v>299</v>
      </c>
      <c r="R8" s="312">
        <v>14</v>
      </c>
    </row>
    <row r="9" spans="1:18" ht="24" customHeight="1">
      <c r="C9" s="314"/>
      <c r="D9" s="324" t="s">
        <v>87</v>
      </c>
      <c r="E9" s="48" t="s">
        <v>300</v>
      </c>
      <c r="F9" s="48" t="s">
        <v>301</v>
      </c>
      <c r="G9" s="48" t="s">
        <v>388</v>
      </c>
      <c r="H9" s="2296"/>
      <c r="R9" s="312">
        <v>23</v>
      </c>
    </row>
    <row r="10" spans="1:18" ht="14.65" customHeight="1">
      <c r="A10" s="281"/>
      <c r="C10" s="314"/>
      <c r="D10" s="85"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5"/>
      <c r="G10" s="151"/>
      <c r="H10" s="2110" t="s">
        <v>1153</v>
      </c>
      <c r="R10" s="312">
        <v>14</v>
      </c>
    </row>
    <row r="11" spans="1:18" ht="14.65" customHeight="1">
      <c r="A11" s="281"/>
      <c r="C11" s="314"/>
      <c r="D11" s="85"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5"/>
      <c r="G11" s="151"/>
      <c r="H11" s="2111"/>
      <c r="R11" s="312">
        <v>14</v>
      </c>
    </row>
    <row r="12" spans="1:18" ht="14.65" customHeight="1">
      <c r="A12" s="42"/>
      <c r="C12" s="325"/>
      <c r="D12" s="85" t="s">
        <v>89</v>
      </c>
      <c r="E12" s="326" t="str">
        <f>"Сведения о планировании закупочных процедур"&amp;IF(TEMPLATE_SPHERE="TKO"," &lt;1&gt;","")</f>
        <v>Сведения о планировании закупочных процедур</v>
      </c>
      <c r="F12" s="195"/>
      <c r="G12" s="151"/>
      <c r="H12" s="211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4.65" customHeight="1">
      <c r="A13" s="42"/>
      <c r="C13" s="325"/>
      <c r="D13" s="85" t="s">
        <v>90</v>
      </c>
      <c r="E13" s="326" t="str">
        <f>"Сведения о результатах проведения закупочных процедур"&amp;IF(TEMPLATE_SPHERE="TKO"," &lt;1&gt;","")</f>
        <v>Сведения о результатах проведения закупочных процедур</v>
      </c>
      <c r="F13" s="195"/>
      <c r="G13" s="151"/>
      <c r="H13" s="2111"/>
      <c r="I13" s="288"/>
      <c r="K13" s="312"/>
      <c r="R13" s="312">
        <v>14</v>
      </c>
    </row>
    <row r="14" spans="1:18" ht="14.65" customHeight="1">
      <c r="A14" s="281"/>
      <c r="C14" s="314"/>
      <c r="D14" s="285"/>
      <c r="E14" s="333" t="s">
        <v>320</v>
      </c>
      <c r="F14" s="287"/>
      <c r="G14" s="139"/>
      <c r="H14" s="2112"/>
      <c r="R14" s="312">
        <v>14</v>
      </c>
    </row>
    <row r="15" spans="1:18" s="1563" customFormat="1" ht="14.65" customHeight="1">
      <c r="A15" s="281"/>
      <c r="B15" s="1088"/>
      <c r="C15" s="314"/>
      <c r="D15" s="334"/>
      <c r="E15" s="1605"/>
      <c r="F15" s="1606"/>
      <c r="G15" s="1607"/>
      <c r="H15" s="1608"/>
      <c r="J15" s="1552"/>
      <c r="K15" s="1552"/>
      <c r="R15" s="1559">
        <v>14</v>
      </c>
    </row>
    <row r="16" spans="1:18" ht="14.65" customHeight="1">
      <c r="D16" s="1609"/>
      <c r="E16" s="2193"/>
      <c r="F16" s="2193"/>
      <c r="G16" s="2193"/>
      <c r="H16" s="2193"/>
      <c r="R16" s="312">
        <v>14</v>
      </c>
    </row>
    <row r="17" spans="1:18" ht="22.5" hidden="1" customHeight="1">
      <c r="A17" s="302" t="s">
        <v>81</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47" style="1563" customWidth="1"/>
    <col min="6" max="6" width="9" style="1563" customWidth="1"/>
    <col min="7" max="7" width="25.7109375" style="1563" hidden="1" customWidth="1"/>
    <col min="8" max="8" width="34" style="1563" hidden="1" customWidth="1"/>
    <col min="9" max="9" width="25.7109375" style="1563" customWidth="1"/>
    <col min="10" max="10" width="33" style="1563" customWidth="1"/>
    <col min="11" max="11" width="50"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175" t="s">
        <v>1154</v>
      </c>
      <c r="E5" s="2175"/>
      <c r="F5" s="2175"/>
      <c r="G5" s="2175"/>
      <c r="H5" s="2175"/>
      <c r="I5" s="2175"/>
      <c r="J5" s="2175"/>
      <c r="V5" s="443">
        <v>63</v>
      </c>
    </row>
    <row r="6" spans="1:22" ht="15.75" customHeight="1">
      <c r="C6" s="114"/>
      <c r="D6" s="2147" t="str">
        <f>IF(org=0,"Не определено",org)</f>
        <v>ООО "Профит"</v>
      </c>
      <c r="E6" s="2147"/>
      <c r="F6" s="2147"/>
      <c r="G6" s="2147"/>
      <c r="H6" s="2147"/>
      <c r="I6" s="2147"/>
      <c r="J6" s="2147"/>
      <c r="K6" s="475"/>
      <c r="V6" s="443">
        <v>15</v>
      </c>
    </row>
    <row r="7" spans="1:22" ht="15.75" customHeight="1">
      <c r="C7" s="114"/>
      <c r="D7" s="690"/>
      <c r="E7" s="447"/>
      <c r="F7" s="447"/>
      <c r="G7" s="475">
        <v>22</v>
      </c>
      <c r="I7" s="475">
        <v>1</v>
      </c>
      <c r="J7" s="690"/>
      <c r="V7" s="443">
        <v>15</v>
      </c>
    </row>
    <row r="8" spans="1:22" s="1563" customFormat="1" ht="1.1499999999999999" customHeight="1">
      <c r="A8" s="695"/>
      <c r="C8" s="114"/>
      <c r="D8" s="447"/>
      <c r="E8" s="447"/>
      <c r="F8" s="447"/>
      <c r="G8" s="475"/>
      <c r="H8" s="690"/>
      <c r="I8" s="475" t="s">
        <v>116</v>
      </c>
      <c r="J8" s="690"/>
      <c r="K8" s="355"/>
      <c r="U8" s="613"/>
      <c r="V8" s="694">
        <v>1</v>
      </c>
    </row>
    <row r="9" spans="1:22" ht="15.75" customHeight="1">
      <c r="C9" s="114"/>
      <c r="D9" s="649"/>
      <c r="E9" s="2289" t="s">
        <v>104</v>
      </c>
      <c r="F9" s="2290"/>
      <c r="G9" s="2304" t="str">
        <f>IF(G8="","",INDEX(DIFFERENTIATION_UNMERGE_VD,MATCH(G8,DIFFERENTIATION_ID_DIFF,0)))</f>
        <v/>
      </c>
      <c r="H9" s="2305"/>
      <c r="I9" s="2304" t="str">
        <f>IF(I8="","",INDEX(DIFFERENTIATION_UNMERGE_VD,MATCH(I8,DIFFERENTIATION_ID_DIFF,0)))</f>
        <v>Транспортировка. Питьевая вода</v>
      </c>
      <c r="J9" s="2305"/>
      <c r="K9" s="2125" t="s">
        <v>299</v>
      </c>
      <c r="V9" s="443">
        <v>15</v>
      </c>
    </row>
    <row r="10" spans="1:22" s="1563" customFormat="1" ht="15.75" customHeight="1">
      <c r="A10" s="695"/>
      <c r="C10" s="114"/>
      <c r="D10" s="649"/>
      <c r="E10" s="2289" t="s">
        <v>562</v>
      </c>
      <c r="F10" s="2290"/>
      <c r="G10" s="2304" t="str">
        <f>IF(G8="","",INDEX(DIFFERENTIATION_UNMERGE_AREA,MATCH(G8,DIFFERENTIATION_ID_DIFF,0)))</f>
        <v/>
      </c>
      <c r="H10" s="2305"/>
      <c r="I10" s="2304" t="str">
        <f>IF(I8="","",INDEX(DIFFERENTIATION_UNMERGE_AREA,MATCH(I8,DIFFERENTIATION_ID_DIFF,0)))</f>
        <v>Территория 1</v>
      </c>
      <c r="J10" s="2305"/>
      <c r="K10" s="2130"/>
      <c r="U10" s="613"/>
      <c r="V10" s="694">
        <v>15</v>
      </c>
    </row>
    <row r="11" spans="1:22" s="1563" customFormat="1" ht="15.75" customHeight="1">
      <c r="A11" s="695"/>
      <c r="C11" s="114"/>
      <c r="D11" s="649"/>
      <c r="E11" s="2289" t="s">
        <v>563</v>
      </c>
      <c r="F11" s="2290"/>
      <c r="G11" s="2304" t="str">
        <f>IF(G8="","",INDEX(DIFFERENTIATION_UNMERGE_SYSTEM,MATCH(G8,DIFFERENTIATION_ID_DIFF,0)))</f>
        <v/>
      </c>
      <c r="H11" s="2305"/>
      <c r="I11" s="2304" t="str">
        <f>IF(I8="","",INDEX(DIFFERENTIATION_UNMERGE_SYSTEM,MATCH(I8,DIFFERENTIATION_ID_DIFF,0)))</f>
        <v>без дифференциации</v>
      </c>
      <c r="J11" s="2305"/>
      <c r="K11" s="2130"/>
      <c r="U11" s="613"/>
      <c r="V11" s="694">
        <v>15</v>
      </c>
    </row>
    <row r="12" spans="1:22" s="1563" customFormat="1" ht="15.75" customHeight="1">
      <c r="A12" s="695"/>
      <c r="C12" s="114"/>
      <c r="D12" s="2291" t="s">
        <v>298</v>
      </c>
      <c r="E12" s="2292"/>
      <c r="F12" s="2292"/>
      <c r="G12" s="818"/>
      <c r="H12" s="818"/>
      <c r="I12" s="818"/>
      <c r="J12" s="818"/>
      <c r="K12" s="2130"/>
      <c r="U12" s="613"/>
      <c r="V12" s="694">
        <v>15</v>
      </c>
    </row>
    <row r="13" spans="1:22" ht="35.65" customHeight="1">
      <c r="C13" s="114"/>
      <c r="D13" s="737" t="s">
        <v>87</v>
      </c>
      <c r="E13" s="739" t="s">
        <v>300</v>
      </c>
      <c r="F13" s="739" t="s">
        <v>564</v>
      </c>
      <c r="G13" s="740" t="s">
        <v>301</v>
      </c>
      <c r="H13" s="739" t="s">
        <v>388</v>
      </c>
      <c r="I13" s="740" t="s">
        <v>301</v>
      </c>
      <c r="J13" s="739" t="s">
        <v>388</v>
      </c>
      <c r="K13" s="2180"/>
      <c r="V13" s="443">
        <v>34</v>
      </c>
    </row>
    <row r="14" spans="1:22" ht="15" hidden="1" customHeight="1">
      <c r="C14" s="114"/>
      <c r="D14" s="531" t="s">
        <v>108</v>
      </c>
      <c r="E14" s="531" t="s">
        <v>109</v>
      </c>
      <c r="F14" s="531" t="s">
        <v>89</v>
      </c>
      <c r="G14" s="597" t="str">
        <f>G1&amp;".1"</f>
        <v>4.1</v>
      </c>
      <c r="H14" s="597"/>
      <c r="I14" s="597" t="str">
        <f>I1&amp;".1"</f>
        <v>4.1</v>
      </c>
      <c r="J14" s="597"/>
      <c r="K14" s="227"/>
      <c r="V14" s="443">
        <v>0</v>
      </c>
    </row>
    <row r="15" spans="1:22" ht="22.5" hidden="1" customHeight="1">
      <c r="A15" s="443"/>
      <c r="C15" s="464"/>
      <c r="D15" s="459">
        <v>1</v>
      </c>
      <c r="E15" s="615" t="s">
        <v>807</v>
      </c>
      <c r="F15" s="459" t="s">
        <v>808</v>
      </c>
      <c r="G15" s="616"/>
      <c r="H15" s="616"/>
      <c r="I15" s="616"/>
      <c r="J15" s="616"/>
      <c r="K15" s="227" t="s">
        <v>809</v>
      </c>
      <c r="V15" s="443">
        <v>0</v>
      </c>
    </row>
    <row r="16" spans="1:22" ht="22.5" hidden="1" customHeight="1">
      <c r="A16" s="443"/>
      <c r="C16" s="464"/>
      <c r="D16" s="459">
        <v>2</v>
      </c>
      <c r="E16" s="217" t="s">
        <v>810</v>
      </c>
      <c r="F16" s="459" t="s">
        <v>811</v>
      </c>
      <c r="G16" s="616"/>
      <c r="H16" s="616"/>
      <c r="I16" s="616"/>
      <c r="J16" s="616"/>
      <c r="K16" s="227" t="s">
        <v>812</v>
      </c>
      <c r="V16" s="443">
        <v>0</v>
      </c>
    </row>
    <row r="17" spans="1:22" ht="123.75" hidden="1" customHeight="1">
      <c r="A17" s="443"/>
      <c r="C17" s="464"/>
      <c r="D17" s="459">
        <v>3</v>
      </c>
      <c r="E17" s="217" t="s">
        <v>1155</v>
      </c>
      <c r="F17" s="459" t="s">
        <v>304</v>
      </c>
      <c r="G17" s="616"/>
      <c r="H17" s="616"/>
      <c r="I17" s="616"/>
      <c r="J17" s="616"/>
      <c r="K17" s="227" t="s">
        <v>1156</v>
      </c>
      <c r="V17" s="443">
        <v>0</v>
      </c>
    </row>
    <row r="18" spans="1:22" ht="48.2" customHeight="1">
      <c r="A18" s="443"/>
      <c r="C18" s="464"/>
      <c r="D18" s="459">
        <v>3</v>
      </c>
      <c r="E18" s="217" t="s">
        <v>813</v>
      </c>
      <c r="F18" s="459" t="s">
        <v>304</v>
      </c>
      <c r="G18" s="741" t="s">
        <v>304</v>
      </c>
      <c r="H18" s="742" t="s">
        <v>304</v>
      </c>
      <c r="I18" s="459" t="s">
        <v>304</v>
      </c>
      <c r="J18" s="516" t="s">
        <v>304</v>
      </c>
      <c r="K18" s="227" t="s">
        <v>1157</v>
      </c>
      <c r="V18" s="443">
        <v>46</v>
      </c>
    </row>
    <row r="19" spans="1:22" ht="35.65" customHeight="1">
      <c r="A19" s="443"/>
      <c r="C19" s="464"/>
      <c r="D19" s="477" t="s">
        <v>322</v>
      </c>
      <c r="E19" s="497" t="s">
        <v>815</v>
      </c>
      <c r="F19" s="459" t="s">
        <v>816</v>
      </c>
      <c r="G19" s="749"/>
      <c r="H19" s="46"/>
      <c r="I19" s="749"/>
      <c r="J19" s="750"/>
      <c r="K19" s="617"/>
      <c r="V19" s="443">
        <v>34</v>
      </c>
    </row>
    <row r="20" spans="1:22" ht="35.65" customHeight="1">
      <c r="A20" s="443"/>
      <c r="C20" s="464"/>
      <c r="D20" s="1816" t="s">
        <v>330</v>
      </c>
      <c r="E20" s="497" t="s">
        <v>817</v>
      </c>
      <c r="F20" s="459" t="s">
        <v>818</v>
      </c>
      <c r="G20" s="749"/>
      <c r="H20" s="46"/>
      <c r="I20" s="749"/>
      <c r="J20" s="46"/>
      <c r="K20" s="617"/>
      <c r="V20" s="443">
        <v>34</v>
      </c>
    </row>
    <row r="21" spans="1:22" ht="48.2" customHeight="1">
      <c r="A21" s="443"/>
      <c r="C21" s="464"/>
      <c r="D21" s="1816" t="s">
        <v>332</v>
      </c>
      <c r="E21" s="497" t="s">
        <v>819</v>
      </c>
      <c r="F21" s="459" t="s">
        <v>569</v>
      </c>
      <c r="G21" s="618"/>
      <c r="H21" s="46"/>
      <c r="I21" s="618"/>
      <c r="J21" s="46"/>
      <c r="K21" s="617"/>
      <c r="V21" s="443">
        <v>46</v>
      </c>
    </row>
    <row r="22" spans="1:22" ht="67.5" hidden="1" customHeight="1">
      <c r="A22" s="443"/>
      <c r="C22" s="464"/>
      <c r="D22" s="459">
        <v>5</v>
      </c>
      <c r="E22" s="217" t="s">
        <v>1158</v>
      </c>
      <c r="F22" s="459" t="s">
        <v>556</v>
      </c>
      <c r="G22" s="619"/>
      <c r="H22" s="620"/>
      <c r="I22" s="619"/>
      <c r="J22" s="620"/>
      <c r="K22" s="227" t="s">
        <v>1159</v>
      </c>
      <c r="V22" s="443">
        <v>0</v>
      </c>
    </row>
    <row r="23" spans="1:22" ht="33.75" hidden="1" customHeight="1">
      <c r="C23" s="389"/>
      <c r="D23" s="459">
        <v>6</v>
      </c>
      <c r="E23" s="217" t="s">
        <v>1160</v>
      </c>
      <c r="F23" s="459" t="s">
        <v>1161</v>
      </c>
      <c r="G23" s="619"/>
      <c r="H23" s="619"/>
      <c r="I23" s="619"/>
      <c r="J23" s="619"/>
      <c r="K23" s="227" t="s">
        <v>1162</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81</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30"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7" customWidth="1"/>
    <col min="58" max="58" width="14.28515625" style="997"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5" customFormat="1" ht="11.25" customHeight="1">
      <c r="A1" s="998" t="s">
        <v>1163</v>
      </c>
      <c r="B1" s="998" t="s">
        <v>1164</v>
      </c>
      <c r="C1" s="998" t="s">
        <v>1165</v>
      </c>
      <c r="D1" s="998" t="s">
        <v>1166</v>
      </c>
      <c r="E1" s="998" t="s">
        <v>1167</v>
      </c>
      <c r="F1" s="998" t="s">
        <v>1168</v>
      </c>
      <c r="G1" s="998" t="s">
        <v>1169</v>
      </c>
      <c r="H1" s="998" t="s">
        <v>1170</v>
      </c>
      <c r="I1" s="998" t="s">
        <v>1171</v>
      </c>
      <c r="J1" s="998" t="s">
        <v>1172</v>
      </c>
      <c r="K1" s="998" t="s">
        <v>1173</v>
      </c>
      <c r="L1" s="998" t="s">
        <v>1174</v>
      </c>
      <c r="M1" s="998"/>
      <c r="N1" s="998" t="s">
        <v>1175</v>
      </c>
      <c r="O1" s="998" t="s">
        <v>1176</v>
      </c>
      <c r="P1" s="998" t="s">
        <v>1177</v>
      </c>
      <c r="Q1" s="998" t="s">
        <v>1178</v>
      </c>
      <c r="R1" s="998" t="s">
        <v>1179</v>
      </c>
      <c r="S1" s="998" t="s">
        <v>1180</v>
      </c>
      <c r="T1" s="998" t="s">
        <v>1181</v>
      </c>
      <c r="U1" s="998" t="s">
        <v>1182</v>
      </c>
      <c r="V1" s="998"/>
      <c r="W1" s="729" t="s">
        <v>1183</v>
      </c>
      <c r="X1" s="998" t="s">
        <v>1184</v>
      </c>
      <c r="Y1" s="998" t="s">
        <v>1185</v>
      </c>
      <c r="Z1" s="998"/>
      <c r="AA1" s="998" t="s">
        <v>1186</v>
      </c>
      <c r="AB1" s="998"/>
      <c r="AC1" s="998" t="s">
        <v>1187</v>
      </c>
      <c r="AD1" s="998"/>
      <c r="AF1" s="998" t="s">
        <v>1188</v>
      </c>
      <c r="AH1" s="998" t="s">
        <v>1189</v>
      </c>
      <c r="AI1" s="998" t="s">
        <v>1190</v>
      </c>
      <c r="AK1" s="998" t="s">
        <v>1191</v>
      </c>
      <c r="AM1" s="998" t="s">
        <v>1192</v>
      </c>
      <c r="AP1" s="998" t="s">
        <v>1193</v>
      </c>
      <c r="AQ1" s="998" t="s">
        <v>1194</v>
      </c>
      <c r="AS1" s="998" t="s">
        <v>1195</v>
      </c>
      <c r="AU1" s="998" t="s">
        <v>1196</v>
      </c>
      <c r="AW1" s="998" t="s">
        <v>1197</v>
      </c>
      <c r="AX1" s="998" t="s">
        <v>1198</v>
      </c>
      <c r="AZ1" s="1080" t="s">
        <v>1199</v>
      </c>
      <c r="BB1" s="998" t="s">
        <v>1200</v>
      </c>
      <c r="BC1" s="998"/>
      <c r="BE1" s="998" t="s">
        <v>1201</v>
      </c>
      <c r="BF1" s="998" t="s">
        <v>1202</v>
      </c>
      <c r="BH1" s="1000" t="s">
        <v>806</v>
      </c>
      <c r="BI1" s="1001"/>
      <c r="BJ1" s="1002" t="s">
        <v>1203</v>
      </c>
      <c r="BK1" s="1001"/>
      <c r="BL1" s="1003" t="s">
        <v>905</v>
      </c>
      <c r="BM1" s="1001"/>
      <c r="BN1" s="1004" t="s">
        <v>1204</v>
      </c>
    </row>
    <row r="2" spans="1:79" ht="11.25" customHeight="1">
      <c r="A2" s="1005" t="s">
        <v>1205</v>
      </c>
      <c r="B2" s="1006">
        <v>2000</v>
      </c>
      <c r="C2" s="1006">
        <v>2022</v>
      </c>
      <c r="D2" s="1006" t="s">
        <v>65</v>
      </c>
      <c r="E2" s="1007" t="s">
        <v>1206</v>
      </c>
      <c r="F2" s="1007" t="s">
        <v>35</v>
      </c>
      <c r="G2" s="1007" t="s">
        <v>1207</v>
      </c>
      <c r="H2" s="1008" t="s">
        <v>54</v>
      </c>
      <c r="I2" s="1007" t="s">
        <v>108</v>
      </c>
      <c r="J2" s="1007" t="s">
        <v>1208</v>
      </c>
      <c r="K2" s="1009" t="s">
        <v>1209</v>
      </c>
      <c r="L2" s="1010"/>
      <c r="M2" s="1009">
        <v>1</v>
      </c>
      <c r="N2" s="1090" t="s">
        <v>1210</v>
      </c>
      <c r="O2" s="1008" t="s">
        <v>1211</v>
      </c>
      <c r="P2" s="1011" t="s">
        <v>38</v>
      </c>
      <c r="Q2" s="1012" t="s">
        <v>1212</v>
      </c>
      <c r="R2" s="82" t="s">
        <v>1213</v>
      </c>
      <c r="S2" s="82" t="s">
        <v>1214</v>
      </c>
      <c r="T2" s="1013" t="s">
        <v>1215</v>
      </c>
      <c r="U2" s="1010" t="s">
        <v>1216</v>
      </c>
      <c r="V2" s="1014">
        <v>1</v>
      </c>
      <c r="W2" s="1015"/>
      <c r="X2" s="1015" t="s">
        <v>1217</v>
      </c>
      <c r="Y2" s="1006" t="s">
        <v>1218</v>
      </c>
      <c r="Z2" s="1016"/>
      <c r="AA2" s="1006" t="s">
        <v>1219</v>
      </c>
      <c r="AB2" s="1017" t="s">
        <v>1219</v>
      </c>
      <c r="AC2" s="1006" t="s">
        <v>1220</v>
      </c>
      <c r="AD2" s="1017" t="s">
        <v>1220</v>
      </c>
      <c r="AF2" s="1008" t="s">
        <v>1216</v>
      </c>
      <c r="AH2" s="1007" t="s">
        <v>1221</v>
      </c>
      <c r="AI2" s="1007" t="s">
        <v>1221</v>
      </c>
      <c r="AK2" s="1007" t="s">
        <v>1222</v>
      </c>
      <c r="AM2" s="1007" t="s">
        <v>1223</v>
      </c>
      <c r="AP2" s="1018" t="s">
        <v>1217</v>
      </c>
      <c r="AQ2" s="1019" t="s">
        <v>1217</v>
      </c>
      <c r="AS2" s="1006" t="s">
        <v>1224</v>
      </c>
      <c r="AU2" s="1048" t="s">
        <v>1225</v>
      </c>
      <c r="AW2" s="1048" t="s">
        <v>1226</v>
      </c>
      <c r="AX2" s="1048" t="s">
        <v>1226</v>
      </c>
      <c r="AZ2" s="1048" t="s">
        <v>1227</v>
      </c>
      <c r="BB2" s="1048" t="s">
        <v>1228</v>
      </c>
      <c r="BC2" s="1048" t="s">
        <v>1229</v>
      </c>
      <c r="BE2" s="1048">
        <v>2000</v>
      </c>
      <c r="BF2" s="1048" t="s">
        <v>1230</v>
      </c>
    </row>
    <row r="3" spans="1:79" ht="11.25" customHeight="1">
      <c r="A3" s="1005" t="s">
        <v>1231</v>
      </c>
      <c r="B3" s="1006">
        <v>2001</v>
      </c>
      <c r="C3" s="1006">
        <v>2023</v>
      </c>
      <c r="D3" s="1006" t="s">
        <v>19</v>
      </c>
      <c r="E3" s="1007" t="s">
        <v>1232</v>
      </c>
      <c r="F3" s="1007" t="s">
        <v>1233</v>
      </c>
      <c r="G3" s="1007" t="s">
        <v>1234</v>
      </c>
      <c r="H3" s="1008" t="s">
        <v>1235</v>
      </c>
      <c r="I3" s="1007" t="s">
        <v>109</v>
      </c>
      <c r="J3" s="1007" t="s">
        <v>554</v>
      </c>
      <c r="K3" s="1009" t="s">
        <v>1236</v>
      </c>
      <c r="L3" s="1010">
        <f>IFERROR(MATCH(K3,OFFER_METHOD,0),0)</f>
        <v>0</v>
      </c>
      <c r="M3" s="1009">
        <v>2</v>
      </c>
      <c r="N3" s="1090" t="s">
        <v>1237</v>
      </c>
      <c r="O3" s="1008" t="s">
        <v>1238</v>
      </c>
      <c r="P3" s="1011" t="s">
        <v>1239</v>
      </c>
      <c r="Q3" s="1012" t="s">
        <v>1240</v>
      </c>
      <c r="R3" s="82" t="s">
        <v>1241</v>
      </c>
      <c r="S3" s="82" t="s">
        <v>1242</v>
      </c>
      <c r="T3" s="1013" t="s">
        <v>1243</v>
      </c>
      <c r="U3" s="1010" t="s">
        <v>1244</v>
      </c>
      <c r="V3" s="1014">
        <v>2</v>
      </c>
      <c r="W3" s="1015"/>
      <c r="X3" s="1015" t="s">
        <v>1245</v>
      </c>
      <c r="Y3" s="1006" t="s">
        <v>1218</v>
      </c>
      <c r="Z3" s="1016"/>
      <c r="AA3" s="1006" t="s">
        <v>1246</v>
      </c>
      <c r="AB3" s="1017" t="s">
        <v>1246</v>
      </c>
      <c r="AC3" s="1006" t="s">
        <v>1247</v>
      </c>
      <c r="AD3" s="1017" t="s">
        <v>1247</v>
      </c>
      <c r="AF3" s="1008" t="s">
        <v>1244</v>
      </c>
      <c r="AH3" s="1007" t="s">
        <v>1248</v>
      </c>
      <c r="AI3" s="1007" t="s">
        <v>1249</v>
      </c>
      <c r="AK3" s="1007" t="s">
        <v>1250</v>
      </c>
      <c r="AM3" s="1007" t="s">
        <v>1251</v>
      </c>
      <c r="AP3" s="1018" t="s">
        <v>1252</v>
      </c>
      <c r="AQ3" s="1019" t="s">
        <v>1252</v>
      </c>
      <c r="AS3" s="1006" t="s">
        <v>1253</v>
      </c>
      <c r="AU3" s="1048" t="s">
        <v>1254</v>
      </c>
      <c r="AW3" s="1048" t="s">
        <v>1255</v>
      </c>
      <c r="AX3" s="1048" t="s">
        <v>1255</v>
      </c>
      <c r="AZ3" s="1048" t="s">
        <v>1256</v>
      </c>
      <c r="BB3" s="1048" t="s">
        <v>1257</v>
      </c>
      <c r="BC3" s="1048" t="s">
        <v>1229</v>
      </c>
      <c r="BE3" s="1048">
        <v>2001</v>
      </c>
      <c r="BF3" s="1048" t="s">
        <v>1258</v>
      </c>
      <c r="BH3" s="998" t="s">
        <v>1259</v>
      </c>
      <c r="BJ3" s="998" t="s">
        <v>1260</v>
      </c>
      <c r="BL3" s="998" t="s">
        <v>1261</v>
      </c>
      <c r="BN3" s="998" t="s">
        <v>1262</v>
      </c>
      <c r="BR3" s="998" t="s">
        <v>1263</v>
      </c>
      <c r="BS3" s="1356"/>
      <c r="BT3" s="1001"/>
      <c r="BU3" s="998" t="s">
        <v>1264</v>
      </c>
      <c r="BV3" s="1001"/>
      <c r="BW3" s="1618"/>
      <c r="BX3" s="1620" t="s">
        <v>1265</v>
      </c>
      <c r="CA3" s="998" t="s">
        <v>1266</v>
      </c>
    </row>
    <row r="4" spans="1:79" ht="11.25" customHeight="1">
      <c r="A4" s="1005" t="s">
        <v>1267</v>
      </c>
      <c r="B4" s="1006">
        <v>2002</v>
      </c>
      <c r="C4" s="1006">
        <v>2024</v>
      </c>
      <c r="E4" s="1007" t="s">
        <v>1268</v>
      </c>
      <c r="F4" s="1007" t="s">
        <v>1269</v>
      </c>
      <c r="H4" s="1008" t="s">
        <v>1270</v>
      </c>
      <c r="I4" s="1007" t="s">
        <v>89</v>
      </c>
      <c r="J4" s="1007" t="s">
        <v>1271</v>
      </c>
      <c r="K4" s="1009" t="s">
        <v>1272</v>
      </c>
      <c r="L4" s="1010">
        <f>IFERROR(MATCH(K4,OFFER_METHOD,0),0)</f>
        <v>0</v>
      </c>
      <c r="M4" s="1009">
        <v>3</v>
      </c>
      <c r="N4" s="1090" t="s">
        <v>1273</v>
      </c>
      <c r="O4" s="1007" t="s">
        <v>1274</v>
      </c>
      <c r="Q4" s="1012" t="s">
        <v>1275</v>
      </c>
      <c r="R4" s="82" t="s">
        <v>1276</v>
      </c>
      <c r="S4" s="82" t="s">
        <v>1277</v>
      </c>
      <c r="T4" s="1013" t="s">
        <v>1278</v>
      </c>
      <c r="U4" s="1010" t="s">
        <v>1279</v>
      </c>
      <c r="V4" s="1014">
        <v>3</v>
      </c>
      <c r="W4" s="1015"/>
      <c r="X4" s="1015" t="s">
        <v>1280</v>
      </c>
      <c r="Y4" s="1006" t="s">
        <v>1218</v>
      </c>
      <c r="Z4" s="1021"/>
      <c r="AC4" s="1006" t="s">
        <v>1281</v>
      </c>
      <c r="AD4" s="1017" t="s">
        <v>1281</v>
      </c>
      <c r="AF4" s="1008" t="s">
        <v>1279</v>
      </c>
      <c r="AH4" s="1008" t="s">
        <v>1282</v>
      </c>
      <c r="AK4" s="1007" t="s">
        <v>1283</v>
      </c>
      <c r="AM4" s="1007" t="s">
        <v>1284</v>
      </c>
      <c r="AP4" s="1018" t="s">
        <v>1245</v>
      </c>
      <c r="AQ4" s="1019" t="s">
        <v>1245</v>
      </c>
      <c r="AS4" s="1006" t="s">
        <v>1285</v>
      </c>
      <c r="AU4" s="1048" t="s">
        <v>1286</v>
      </c>
      <c r="AW4" s="1048" t="s">
        <v>1287</v>
      </c>
      <c r="AX4" s="1048" t="s">
        <v>1287</v>
      </c>
      <c r="AZ4" s="1048" t="s">
        <v>1288</v>
      </c>
      <c r="BB4" s="1048" t="s">
        <v>1289</v>
      </c>
      <c r="BC4" s="1048" t="s">
        <v>1290</v>
      </c>
      <c r="BE4" s="1048">
        <v>2002</v>
      </c>
      <c r="BF4" s="1048" t="s">
        <v>1291</v>
      </c>
      <c r="BH4" s="999" t="s">
        <v>1292</v>
      </c>
      <c r="BJ4" s="999" t="s">
        <v>1292</v>
      </c>
      <c r="BL4" s="999" t="s">
        <v>1292</v>
      </c>
      <c r="BN4" s="999" t="s">
        <v>1292</v>
      </c>
      <c r="BQ4" s="1360" t="s">
        <v>1293</v>
      </c>
      <c r="BR4" s="1087" t="s">
        <v>1294</v>
      </c>
      <c r="BS4" s="212"/>
      <c r="BT4" s="1360" t="s">
        <v>1295</v>
      </c>
      <c r="BU4" s="1087" t="s">
        <v>1296</v>
      </c>
      <c r="BV4" s="1001"/>
      <c r="BW4" s="1625" t="s">
        <v>1297</v>
      </c>
      <c r="BX4" s="1619" t="s">
        <v>1298</v>
      </c>
      <c r="BZ4" s="1360" t="s">
        <v>1299</v>
      </c>
      <c r="CA4" s="1087" t="s">
        <v>1300</v>
      </c>
    </row>
    <row r="5" spans="1:79" ht="11.25" customHeight="1">
      <c r="A5" s="1005" t="s">
        <v>1301</v>
      </c>
      <c r="B5" s="1006">
        <v>2003</v>
      </c>
      <c r="C5" s="1006">
        <v>2025</v>
      </c>
      <c r="E5" s="1007" t="s">
        <v>1302</v>
      </c>
      <c r="F5" s="1007" t="s">
        <v>1303</v>
      </c>
      <c r="H5" s="1008" t="s">
        <v>1304</v>
      </c>
      <c r="I5" s="1007" t="s">
        <v>90</v>
      </c>
      <c r="K5" s="1009" t="s">
        <v>1305</v>
      </c>
      <c r="L5" s="1010">
        <f>IFERROR(MATCH(K5,OFFER_METHOD,0),0)</f>
        <v>0</v>
      </c>
      <c r="M5" s="1009">
        <v>4</v>
      </c>
      <c r="N5" s="1022" t="s">
        <v>1306</v>
      </c>
      <c r="O5" s="1007" t="s">
        <v>1307</v>
      </c>
      <c r="Q5" s="1012" t="s">
        <v>1308</v>
      </c>
      <c r="R5" s="82" t="s">
        <v>1309</v>
      </c>
      <c r="T5" s="1008" t="s">
        <v>1310</v>
      </c>
      <c r="U5" s="1010" t="s">
        <v>1311</v>
      </c>
      <c r="V5" s="1014">
        <v>4</v>
      </c>
      <c r="W5" s="1015"/>
      <c r="X5" s="1015" t="s">
        <v>166</v>
      </c>
      <c r="Y5" s="1006" t="s">
        <v>1312</v>
      </c>
      <c r="Z5" s="1021">
        <v>1</v>
      </c>
      <c r="AF5" s="1008" t="s">
        <v>1313</v>
      </c>
      <c r="AH5" s="1007" t="s">
        <v>1314</v>
      </c>
      <c r="AK5" s="1007" t="s">
        <v>1315</v>
      </c>
      <c r="AM5" s="1007" t="s">
        <v>1316</v>
      </c>
      <c r="AP5" s="1018" t="s">
        <v>166</v>
      </c>
      <c r="AQ5" s="1019" t="s">
        <v>166</v>
      </c>
      <c r="AU5" s="1048" t="s">
        <v>1317</v>
      </c>
      <c r="AW5" s="1048" t="s">
        <v>1318</v>
      </c>
      <c r="AX5" s="1048" t="s">
        <v>1318</v>
      </c>
      <c r="AZ5" s="1048" t="s">
        <v>1319</v>
      </c>
      <c r="BB5" s="1048" t="s">
        <v>1320</v>
      </c>
      <c r="BC5" s="1048" t="s">
        <v>1321</v>
      </c>
      <c r="BE5" s="1048">
        <v>2003</v>
      </c>
      <c r="BF5" s="1048" t="s">
        <v>1322</v>
      </c>
      <c r="BH5" s="999" t="s">
        <v>1323</v>
      </c>
      <c r="BJ5" s="999" t="s">
        <v>1323</v>
      </c>
      <c r="BL5" s="999" t="s">
        <v>1323</v>
      </c>
      <c r="BN5" s="999" t="s">
        <v>1324</v>
      </c>
      <c r="BQ5" s="1209">
        <v>4213775</v>
      </c>
      <c r="BR5" s="999" t="s">
        <v>1217</v>
      </c>
      <c r="BS5" s="1357"/>
      <c r="BT5" s="1209">
        <v>64236871</v>
      </c>
      <c r="BU5" s="999" t="s">
        <v>227</v>
      </c>
      <c r="BV5" s="1001"/>
      <c r="BW5" s="1623">
        <v>4213767</v>
      </c>
      <c r="BX5" s="1621" t="s">
        <v>1325</v>
      </c>
      <c r="BZ5" s="1209">
        <v>64237509</v>
      </c>
      <c r="CA5" s="1223" t="s">
        <v>1326</v>
      </c>
    </row>
    <row r="6" spans="1:79" ht="11.25" customHeight="1">
      <c r="A6" s="1005" t="s">
        <v>1327</v>
      </c>
      <c r="B6" s="1006">
        <v>2004</v>
      </c>
      <c r="C6" s="1006">
        <v>2026</v>
      </c>
      <c r="E6" s="1007" t="s">
        <v>1328</v>
      </c>
      <c r="F6" s="1023"/>
      <c r="H6" s="1008" t="s">
        <v>1329</v>
      </c>
      <c r="I6" s="1007" t="s">
        <v>110</v>
      </c>
      <c r="J6" s="998" t="s">
        <v>1330</v>
      </c>
      <c r="L6" s="1010">
        <f>SUM(kind_of_control_method_filter)</f>
        <v>0</v>
      </c>
      <c r="N6" s="1022" t="s">
        <v>1331</v>
      </c>
      <c r="O6" s="1007" t="s">
        <v>1332</v>
      </c>
      <c r="R6" s="82" t="s">
        <v>1212</v>
      </c>
      <c r="T6" s="1008" t="s">
        <v>1333</v>
      </c>
      <c r="U6" s="1010" t="s">
        <v>1313</v>
      </c>
      <c r="V6" s="1014">
        <v>5</v>
      </c>
      <c r="W6" s="1015"/>
      <c r="X6" s="1006" t="s">
        <v>172</v>
      </c>
      <c r="Y6" s="1006" t="s">
        <v>1334</v>
      </c>
      <c r="Z6" s="1021"/>
      <c r="AA6" s="1024"/>
      <c r="AH6" s="1007" t="s">
        <v>1335</v>
      </c>
      <c r="AK6" s="1007" t="s">
        <v>1336</v>
      </c>
      <c r="AM6" s="1007" t="s">
        <v>1337</v>
      </c>
      <c r="AP6" s="1018" t="s">
        <v>172</v>
      </c>
      <c r="AQ6" s="1019" t="s">
        <v>172</v>
      </c>
      <c r="AU6" s="1048" t="s">
        <v>1338</v>
      </c>
      <c r="AW6" s="1048" t="s">
        <v>1339</v>
      </c>
      <c r="AX6" s="1048" t="s">
        <v>1339</v>
      </c>
      <c r="BB6" s="1048" t="s">
        <v>1340</v>
      </c>
      <c r="BC6" s="1048" t="s">
        <v>1321</v>
      </c>
      <c r="BE6" s="1048">
        <v>2004</v>
      </c>
      <c r="BF6" s="1048" t="s">
        <v>1341</v>
      </c>
      <c r="BH6" s="999" t="s">
        <v>1342</v>
      </c>
      <c r="BJ6" s="999" t="s">
        <v>1343</v>
      </c>
      <c r="BL6" s="999" t="s">
        <v>1343</v>
      </c>
      <c r="BN6" s="999" t="s">
        <v>1344</v>
      </c>
      <c r="BQ6" s="1209">
        <v>4213784</v>
      </c>
      <c r="BR6" s="1223" t="s">
        <v>1252</v>
      </c>
      <c r="BS6" s="1358"/>
      <c r="BT6" s="1209">
        <v>64236872</v>
      </c>
      <c r="BU6" s="999" t="s">
        <v>232</v>
      </c>
      <c r="BV6" s="1001"/>
      <c r="BW6" s="1623">
        <v>4213768</v>
      </c>
      <c r="BX6" s="1621" t="s">
        <v>252</v>
      </c>
      <c r="BZ6" s="1209">
        <v>64237510</v>
      </c>
      <c r="CA6" s="999" t="s">
        <v>1345</v>
      </c>
    </row>
    <row r="7" spans="1:79" ht="11.25" customHeight="1">
      <c r="A7" s="1005" t="s">
        <v>1346</v>
      </c>
      <c r="B7" s="1006">
        <v>2005</v>
      </c>
      <c r="E7" s="1007" t="s">
        <v>1347</v>
      </c>
      <c r="F7" s="1023"/>
      <c r="H7" s="1008" t="s">
        <v>1348</v>
      </c>
      <c r="I7" s="1007" t="s">
        <v>91</v>
      </c>
      <c r="J7" s="1007" t="s">
        <v>1349</v>
      </c>
      <c r="N7" s="1026" t="s">
        <v>1350</v>
      </c>
      <c r="O7" s="1007" t="s">
        <v>1351</v>
      </c>
      <c r="U7" s="1010" t="s">
        <v>19</v>
      </c>
      <c r="V7" s="308" t="s">
        <v>91</v>
      </c>
      <c r="W7" s="1015"/>
      <c r="X7" s="1006" t="s">
        <v>178</v>
      </c>
      <c r="Y7" s="1006" t="s">
        <v>1312</v>
      </c>
      <c r="Z7" s="1021"/>
      <c r="AA7" s="1024"/>
      <c r="AH7" s="1007" t="s">
        <v>1352</v>
      </c>
      <c r="AK7" s="1007" t="s">
        <v>1353</v>
      </c>
      <c r="AM7" s="1007" t="s">
        <v>1354</v>
      </c>
      <c r="AP7" s="1018" t="s">
        <v>178</v>
      </c>
      <c r="AQ7" s="1019" t="s">
        <v>178</v>
      </c>
      <c r="AU7" s="1048" t="s">
        <v>1355</v>
      </c>
      <c r="AW7" s="1048" t="s">
        <v>1356</v>
      </c>
      <c r="AX7" s="1048" t="s">
        <v>1356</v>
      </c>
      <c r="AZ7" s="998" t="s">
        <v>1357</v>
      </c>
      <c r="BB7" s="1048" t="s">
        <v>1358</v>
      </c>
      <c r="BC7" s="1048" t="s">
        <v>1321</v>
      </c>
      <c r="BE7" s="1048">
        <v>2005</v>
      </c>
      <c r="BF7" s="1048" t="s">
        <v>1359</v>
      </c>
      <c r="BH7" s="999" t="s">
        <v>1360</v>
      </c>
      <c r="BJ7" s="999" t="s">
        <v>1342</v>
      </c>
      <c r="BL7" s="999" t="s">
        <v>1342</v>
      </c>
      <c r="BN7" s="999" t="s">
        <v>1361</v>
      </c>
      <c r="BQ7" s="1209">
        <v>4213781</v>
      </c>
      <c r="BR7" s="999" t="s">
        <v>1245</v>
      </c>
      <c r="BS7" s="1357"/>
      <c r="BT7" s="1209">
        <v>64236873</v>
      </c>
      <c r="BU7" s="999" t="s">
        <v>237</v>
      </c>
      <c r="BV7" s="1001"/>
      <c r="BW7" s="1623">
        <v>4213769</v>
      </c>
      <c r="BX7" s="1621" t="s">
        <v>1362</v>
      </c>
      <c r="BZ7" s="1209">
        <v>64237511</v>
      </c>
      <c r="CA7" s="999" t="s">
        <v>267</v>
      </c>
    </row>
    <row r="8" spans="1:79" ht="11.25" customHeight="1">
      <c r="A8" s="1005" t="s">
        <v>1363</v>
      </c>
      <c r="B8" s="1006">
        <v>2006</v>
      </c>
      <c r="E8" s="1007" t="s">
        <v>1364</v>
      </c>
      <c r="F8" s="1023"/>
      <c r="H8" s="1008" t="s">
        <v>1365</v>
      </c>
      <c r="I8" s="1007" t="s">
        <v>92</v>
      </c>
      <c r="J8" s="1007" t="s">
        <v>1366</v>
      </c>
      <c r="N8" s="1091" t="s">
        <v>1367</v>
      </c>
      <c r="O8" s="1007" t="s">
        <v>1368</v>
      </c>
      <c r="V8" s="308" t="s">
        <v>92</v>
      </c>
      <c r="W8" s="1015"/>
      <c r="X8" s="1006" t="s">
        <v>184</v>
      </c>
      <c r="Y8" s="1006" t="s">
        <v>1312</v>
      </c>
      <c r="Z8" s="1021"/>
      <c r="AA8" s="1024"/>
      <c r="AK8" s="1007" t="s">
        <v>1369</v>
      </c>
      <c r="AP8" s="1018" t="s">
        <v>184</v>
      </c>
      <c r="AQ8" s="1019" t="s">
        <v>184</v>
      </c>
      <c r="AU8" s="1048" t="s">
        <v>1370</v>
      </c>
      <c r="AW8" s="1048" t="s">
        <v>1371</v>
      </c>
      <c r="AX8" s="1048" t="s">
        <v>1371</v>
      </c>
      <c r="AZ8" s="1048" t="s">
        <v>1372</v>
      </c>
      <c r="BB8" s="1048" t="s">
        <v>1373</v>
      </c>
      <c r="BC8" s="1048" t="s">
        <v>1321</v>
      </c>
      <c r="BE8" s="1048">
        <v>2006</v>
      </c>
      <c r="BF8" s="1048" t="s">
        <v>1374</v>
      </c>
      <c r="BH8" s="999" t="s">
        <v>1375</v>
      </c>
      <c r="BJ8" s="999" t="s">
        <v>1376</v>
      </c>
      <c r="BL8" s="999" t="s">
        <v>1376</v>
      </c>
      <c r="BN8" s="999" t="s">
        <v>1377</v>
      </c>
      <c r="BQ8" s="1209">
        <v>4213776</v>
      </c>
      <c r="BR8" s="999" t="s">
        <v>166</v>
      </c>
      <c r="BS8" s="1357"/>
      <c r="BT8" s="1209">
        <v>64236874</v>
      </c>
      <c r="BU8" s="1223" t="s">
        <v>1378</v>
      </c>
      <c r="BV8" s="1001"/>
      <c r="BW8" s="1623">
        <v>4213770</v>
      </c>
      <c r="BX8" s="1624" t="s">
        <v>1379</v>
      </c>
      <c r="BZ8" s="1209">
        <v>64237512</v>
      </c>
      <c r="CA8" s="999" t="s">
        <v>262</v>
      </c>
    </row>
    <row r="9" spans="1:79" ht="11.25" customHeight="1">
      <c r="A9" s="1005" t="s">
        <v>1380</v>
      </c>
      <c r="B9" s="1006">
        <v>2007</v>
      </c>
      <c r="E9" s="1007" t="s">
        <v>1381</v>
      </c>
      <c r="F9" s="1023"/>
      <c r="G9" s="998" t="s">
        <v>1382</v>
      </c>
      <c r="H9" s="998" t="s">
        <v>1383</v>
      </c>
      <c r="I9" s="1007" t="s">
        <v>111</v>
      </c>
      <c r="O9" s="1007" t="s">
        <v>1384</v>
      </c>
      <c r="V9" s="308" t="s">
        <v>111</v>
      </c>
      <c r="W9" s="1015"/>
      <c r="X9" s="1006" t="s">
        <v>190</v>
      </c>
      <c r="Y9" s="1006" t="s">
        <v>1218</v>
      </c>
      <c r="Z9" s="1021">
        <v>1</v>
      </c>
      <c r="AA9" s="1024"/>
      <c r="AK9" s="1007" t="s">
        <v>1385</v>
      </c>
      <c r="AP9" s="1018" t="s">
        <v>1386</v>
      </c>
      <c r="AQ9" s="1019" t="s">
        <v>1386</v>
      </c>
      <c r="AW9" s="1048" t="s">
        <v>1387</v>
      </c>
      <c r="AX9" s="1048" t="s">
        <v>1387</v>
      </c>
      <c r="AZ9" s="1048" t="s">
        <v>1388</v>
      </c>
      <c r="BB9" s="1048" t="s">
        <v>1389</v>
      </c>
      <c r="BC9" s="1048" t="s">
        <v>1321</v>
      </c>
      <c r="BE9" s="1048">
        <v>2007</v>
      </c>
      <c r="BF9" s="1048" t="s">
        <v>1390</v>
      </c>
      <c r="BH9" s="999" t="s">
        <v>1391</v>
      </c>
      <c r="BJ9" s="999" t="s">
        <v>1392</v>
      </c>
      <c r="BL9" s="999" t="s">
        <v>1392</v>
      </c>
      <c r="BN9" s="999" t="s">
        <v>1393</v>
      </c>
      <c r="BQ9" s="1209">
        <v>4213777</v>
      </c>
      <c r="BR9" s="999" t="s">
        <v>172</v>
      </c>
      <c r="BS9" s="1357"/>
      <c r="BT9" s="1209">
        <v>64236875</v>
      </c>
      <c r="BU9" s="999" t="s">
        <v>242</v>
      </c>
      <c r="BV9" s="1001"/>
      <c r="BW9" s="1618"/>
      <c r="BX9" s="1618"/>
    </row>
    <row r="10" spans="1:79" ht="11.25" customHeight="1">
      <c r="A10" s="1005" t="s">
        <v>1394</v>
      </c>
      <c r="B10" s="1006">
        <v>2008</v>
      </c>
      <c r="E10" s="1007" t="s">
        <v>1395</v>
      </c>
      <c r="F10" s="1023"/>
      <c r="G10" s="1007" t="s">
        <v>1396</v>
      </c>
      <c r="H10" s="1007" t="s">
        <v>1397</v>
      </c>
      <c r="I10" s="1007" t="s">
        <v>148</v>
      </c>
      <c r="J10" s="998" t="s">
        <v>1398</v>
      </c>
      <c r="K10" s="998" t="s">
        <v>1399</v>
      </c>
      <c r="O10" s="1007" t="s">
        <v>1400</v>
      </c>
      <c r="V10" s="309" t="s">
        <v>148</v>
      </c>
      <c r="W10" s="1027"/>
      <c r="X10" s="1027" t="s">
        <v>1401</v>
      </c>
      <c r="Y10" s="1028" t="s">
        <v>1402</v>
      </c>
      <c r="Z10" s="1021"/>
      <c r="AP10" s="1018" t="s">
        <v>1401</v>
      </c>
      <c r="AQ10" s="1019" t="s">
        <v>1401</v>
      </c>
      <c r="AW10" s="1048" t="s">
        <v>1403</v>
      </c>
      <c r="AX10" s="1048" t="s">
        <v>1403</v>
      </c>
      <c r="AZ10" s="1048" t="s">
        <v>1404</v>
      </c>
      <c r="BB10" s="1048" t="s">
        <v>1405</v>
      </c>
      <c r="BC10" s="1048" t="s">
        <v>1321</v>
      </c>
      <c r="BE10" s="1048">
        <v>2008</v>
      </c>
      <c r="BF10" s="1048" t="s">
        <v>1406</v>
      </c>
      <c r="BH10" s="999" t="s">
        <v>1407</v>
      </c>
      <c r="BJ10" s="999" t="s">
        <v>1408</v>
      </c>
      <c r="BL10" s="999" t="s">
        <v>1408</v>
      </c>
      <c r="BN10" s="999" t="s">
        <v>1409</v>
      </c>
      <c r="BQ10" s="1209">
        <v>4213778</v>
      </c>
      <c r="BR10" s="999" t="s">
        <v>178</v>
      </c>
      <c r="BS10" s="1357"/>
      <c r="BT10" s="1209">
        <v>64236876</v>
      </c>
      <c r="BU10" s="999" t="s">
        <v>222</v>
      </c>
      <c r="BV10" s="1001"/>
      <c r="BW10" s="1618"/>
      <c r="BX10" s="1618"/>
    </row>
    <row r="11" spans="1:79" ht="11.25" customHeight="1">
      <c r="A11" s="1005" t="s">
        <v>1410</v>
      </c>
      <c r="B11" s="1006">
        <v>2009</v>
      </c>
      <c r="E11" s="1007" t="s">
        <v>1411</v>
      </c>
      <c r="F11" s="1023"/>
      <c r="G11" s="1007" t="s">
        <v>1412</v>
      </c>
      <c r="H11" s="1007" t="s">
        <v>1413</v>
      </c>
      <c r="I11" s="1007" t="s">
        <v>149</v>
      </c>
      <c r="J11" s="1008" t="s">
        <v>1414</v>
      </c>
      <c r="K11" s="1029" t="s">
        <v>1415</v>
      </c>
      <c r="O11" s="1008" t="s">
        <v>1416</v>
      </c>
      <c r="V11" s="308" t="s">
        <v>149</v>
      </c>
      <c r="W11" s="213"/>
      <c r="X11" s="1015" t="s">
        <v>1386</v>
      </c>
      <c r="Y11" s="1006" t="s">
        <v>1417</v>
      </c>
      <c r="Z11" s="1021"/>
      <c r="AP11" s="1018" t="s">
        <v>190</v>
      </c>
      <c r="AQ11" s="1020" t="s">
        <v>190</v>
      </c>
      <c r="AW11" s="1048" t="s">
        <v>1418</v>
      </c>
      <c r="AX11" s="1048" t="s">
        <v>1418</v>
      </c>
      <c r="AZ11" s="1048" t="s">
        <v>1419</v>
      </c>
      <c r="BB11" s="1048" t="s">
        <v>1420</v>
      </c>
      <c r="BC11" s="1048" t="s">
        <v>1321</v>
      </c>
      <c r="BE11" s="1048">
        <v>2009</v>
      </c>
      <c r="BF11" s="1048" t="s">
        <v>1421</v>
      </c>
      <c r="BH11" s="999" t="s">
        <v>1422</v>
      </c>
      <c r="BJ11" s="999" t="s">
        <v>1391</v>
      </c>
      <c r="BL11" s="999" t="s">
        <v>1391</v>
      </c>
      <c r="BN11" s="999" t="s">
        <v>1423</v>
      </c>
      <c r="BQ11" s="1209">
        <v>4213780</v>
      </c>
      <c r="BR11" s="999" t="s">
        <v>184</v>
      </c>
      <c r="BS11" s="1357"/>
      <c r="BW11" s="1618"/>
      <c r="BX11" s="1618"/>
    </row>
    <row r="12" spans="1:79" ht="11.25" customHeight="1">
      <c r="A12" s="1005" t="s">
        <v>1424</v>
      </c>
      <c r="B12" s="1006">
        <v>2010</v>
      </c>
      <c r="E12" s="1007" t="s">
        <v>1425</v>
      </c>
      <c r="F12" s="1023"/>
      <c r="G12" s="1007" t="s">
        <v>1413</v>
      </c>
      <c r="I12" s="1007" t="s">
        <v>150</v>
      </c>
      <c r="J12" s="1008" t="s">
        <v>1426</v>
      </c>
      <c r="K12" s="1029" t="s">
        <v>1427</v>
      </c>
      <c r="O12" s="1008" t="s">
        <v>1212</v>
      </c>
      <c r="V12" s="308" t="s">
        <v>150</v>
      </c>
      <c r="W12" s="1020"/>
      <c r="X12" s="1015" t="s">
        <v>1428</v>
      </c>
      <c r="Y12" s="1006" t="s">
        <v>1218</v>
      </c>
      <c r="AP12" s="1018"/>
      <c r="AW12" s="1048" t="s">
        <v>149</v>
      </c>
      <c r="AX12" s="1048" t="s">
        <v>149</v>
      </c>
      <c r="AZ12" s="1048" t="s">
        <v>1429</v>
      </c>
      <c r="BB12" s="1048" t="s">
        <v>1430</v>
      </c>
      <c r="BC12" s="1048" t="s">
        <v>1321</v>
      </c>
      <c r="BE12" s="1048">
        <v>2010</v>
      </c>
      <c r="BF12" s="1048" t="s">
        <v>1431</v>
      </c>
      <c r="BH12" s="999" t="s">
        <v>1432</v>
      </c>
      <c r="BJ12" s="999" t="s">
        <v>1433</v>
      </c>
      <c r="BL12" s="999" t="s">
        <v>1433</v>
      </c>
      <c r="BN12" s="999" t="s">
        <v>1434</v>
      </c>
      <c r="BQ12" s="1209">
        <v>4213779</v>
      </c>
      <c r="BR12" s="999" t="s">
        <v>1386</v>
      </c>
      <c r="BS12" s="1357"/>
      <c r="BT12" s="1001"/>
      <c r="BU12" s="1001"/>
      <c r="BV12" s="1001"/>
      <c r="BW12" s="1618"/>
      <c r="BX12" s="1618"/>
    </row>
    <row r="13" spans="1:79" ht="11.25" customHeight="1">
      <c r="A13" s="1005" t="s">
        <v>1435</v>
      </c>
      <c r="B13" s="1006">
        <v>2011</v>
      </c>
      <c r="E13" s="1007" t="s">
        <v>1436</v>
      </c>
      <c r="F13" s="1023"/>
      <c r="I13" s="1007" t="s">
        <v>151</v>
      </c>
      <c r="K13" s="1029" t="s">
        <v>1385</v>
      </c>
      <c r="V13" s="308" t="s">
        <v>151</v>
      </c>
      <c r="W13" s="1020"/>
      <c r="X13" s="1020"/>
      <c r="Y13" s="1020"/>
      <c r="AW13" s="1048" t="s">
        <v>150</v>
      </c>
      <c r="AX13" s="1048" t="s">
        <v>150</v>
      </c>
      <c r="BB13" s="1048" t="s">
        <v>1437</v>
      </c>
      <c r="BC13" s="1048" t="s">
        <v>1438</v>
      </c>
      <c r="BE13" s="1048">
        <v>2011</v>
      </c>
      <c r="BF13" s="1048" t="s">
        <v>1439</v>
      </c>
      <c r="BH13" s="999" t="s">
        <v>1440</v>
      </c>
      <c r="BJ13" s="999" t="s">
        <v>1422</v>
      </c>
      <c r="BL13" s="999" t="s">
        <v>1422</v>
      </c>
      <c r="BN13" s="999" t="s">
        <v>1441</v>
      </c>
      <c r="BQ13" s="1209">
        <v>4213783</v>
      </c>
      <c r="BR13" s="999" t="s">
        <v>1401</v>
      </c>
      <c r="BS13" s="1357"/>
      <c r="BT13" s="1001"/>
      <c r="BU13" s="1001"/>
      <c r="BV13" s="1001"/>
      <c r="BW13" s="1622"/>
      <c r="BX13" s="1618"/>
    </row>
    <row r="14" spans="1:79" ht="11.25" customHeight="1">
      <c r="A14" s="1005" t="s">
        <v>1442</v>
      </c>
      <c r="B14" s="1006">
        <v>2012</v>
      </c>
      <c r="I14" s="1007" t="s">
        <v>152</v>
      </c>
      <c r="J14" s="998" t="s">
        <v>1443</v>
      </c>
      <c r="N14" s="998" t="s">
        <v>1444</v>
      </c>
      <c r="V14" s="1014">
        <v>13</v>
      </c>
      <c r="W14" s="1015"/>
      <c r="X14" s="1015" t="s">
        <v>1252</v>
      </c>
      <c r="Y14" s="1006" t="s">
        <v>1218</v>
      </c>
      <c r="AW14" s="1048" t="s">
        <v>151</v>
      </c>
      <c r="AX14" s="1048" t="s">
        <v>151</v>
      </c>
      <c r="AZ14" s="998" t="s">
        <v>1445</v>
      </c>
      <c r="BB14" s="1048" t="s">
        <v>1446</v>
      </c>
      <c r="BC14" s="1048" t="s">
        <v>1438</v>
      </c>
      <c r="BE14" s="1048">
        <v>2012</v>
      </c>
      <c r="BH14" s="999" t="s">
        <v>1361</v>
      </c>
      <c r="BJ14" s="1145" t="s">
        <v>1447</v>
      </c>
      <c r="BL14" s="1145" t="s">
        <v>1447</v>
      </c>
      <c r="BN14" s="999" t="s">
        <v>1448</v>
      </c>
      <c r="BQ14" s="1209">
        <v>4213782</v>
      </c>
      <c r="BR14" s="999" t="s">
        <v>190</v>
      </c>
      <c r="BS14" s="1357"/>
      <c r="BT14" s="1001"/>
      <c r="BU14" s="1001"/>
      <c r="BV14" s="1001"/>
      <c r="BW14" s="1622"/>
      <c r="BX14" s="1618"/>
    </row>
    <row r="15" spans="1:79" ht="19.5" customHeight="1">
      <c r="A15" s="1005" t="s">
        <v>1449</v>
      </c>
      <c r="B15" s="1006">
        <v>2013</v>
      </c>
      <c r="E15" s="1626" t="s">
        <v>1450</v>
      </c>
      <c r="G15" s="998" t="s">
        <v>1451</v>
      </c>
      <c r="H15" s="998" t="s">
        <v>1452</v>
      </c>
      <c r="I15" s="1009" t="s">
        <v>153</v>
      </c>
      <c r="J15" s="1020" t="s">
        <v>581</v>
      </c>
      <c r="N15" s="1086" t="s">
        <v>1453</v>
      </c>
      <c r="X15" s="1018"/>
      <c r="AW15" s="1048" t="s">
        <v>152</v>
      </c>
      <c r="AX15" s="1048" t="s">
        <v>152</v>
      </c>
      <c r="AZ15" s="1048" t="s">
        <v>1372</v>
      </c>
      <c r="BB15" s="1048" t="s">
        <v>1454</v>
      </c>
      <c r="BC15" s="1048" t="s">
        <v>1438</v>
      </c>
      <c r="BE15" s="1048">
        <v>2013</v>
      </c>
      <c r="BH15" s="999" t="s">
        <v>1377</v>
      </c>
      <c r="BJ15" s="1145" t="s">
        <v>1455</v>
      </c>
      <c r="BL15" s="1145" t="s">
        <v>1455</v>
      </c>
      <c r="BN15" s="999" t="s">
        <v>1456</v>
      </c>
      <c r="BR15" s="1001"/>
      <c r="BS15" s="1359"/>
      <c r="BT15" s="1001"/>
      <c r="BU15" s="1001"/>
      <c r="BV15" s="1001"/>
      <c r="BW15" s="1622"/>
      <c r="BX15" s="1618"/>
    </row>
    <row r="16" spans="1:79" ht="21" customHeight="1">
      <c r="A16" s="1796" t="s">
        <v>1457</v>
      </c>
      <c r="B16" s="1006">
        <v>2014</v>
      </c>
      <c r="E16" s="1627" t="s">
        <v>1458</v>
      </c>
      <c r="G16" s="1007" t="s">
        <v>1459</v>
      </c>
      <c r="H16" s="1007" t="s">
        <v>1460</v>
      </c>
      <c r="I16" s="1009" t="s">
        <v>1461</v>
      </c>
      <c r="J16" s="1020" t="s">
        <v>554</v>
      </c>
      <c r="N16" s="1086" t="s">
        <v>1462</v>
      </c>
      <c r="AW16" s="1048" t="s">
        <v>153</v>
      </c>
      <c r="AX16" s="1048" t="s">
        <v>153</v>
      </c>
      <c r="AZ16" s="1048" t="s">
        <v>1388</v>
      </c>
      <c r="BB16" s="1048" t="s">
        <v>1463</v>
      </c>
      <c r="BC16" s="1048" t="s">
        <v>1438</v>
      </c>
      <c r="BE16" s="1048">
        <v>2014</v>
      </c>
      <c r="BH16" s="999" t="s">
        <v>1393</v>
      </c>
      <c r="BJ16" s="1145" t="s">
        <v>1464</v>
      </c>
      <c r="BL16" s="1145" t="s">
        <v>1464</v>
      </c>
      <c r="BN16" s="999" t="s">
        <v>1465</v>
      </c>
      <c r="BR16" s="1001"/>
      <c r="BS16" s="1359"/>
      <c r="BT16" s="1001"/>
      <c r="BU16" s="1001"/>
      <c r="BV16" s="1001"/>
      <c r="BW16" s="1622"/>
      <c r="BX16" s="1618"/>
    </row>
    <row r="17" spans="1:82" ht="21" customHeight="1">
      <c r="A17" s="1005" t="s">
        <v>1466</v>
      </c>
      <c r="B17" s="1006">
        <v>2015</v>
      </c>
      <c r="G17" s="1007" t="s">
        <v>1413</v>
      </c>
      <c r="H17" s="1007" t="s">
        <v>1413</v>
      </c>
      <c r="I17" s="1007" t="s">
        <v>1467</v>
      </c>
      <c r="N17" s="1086" t="s">
        <v>1468</v>
      </c>
      <c r="X17" s="1018"/>
      <c r="AW17" s="1048" t="s">
        <v>1461</v>
      </c>
      <c r="AX17" s="1048" t="s">
        <v>1461</v>
      </c>
      <c r="AZ17" s="1048" t="s">
        <v>1469</v>
      </c>
      <c r="BB17" s="1048" t="s">
        <v>1470</v>
      </c>
      <c r="BC17" s="1048" t="s">
        <v>1321</v>
      </c>
      <c r="BE17" s="1048">
        <v>2015</v>
      </c>
      <c r="BH17" s="999" t="s">
        <v>1409</v>
      </c>
      <c r="BJ17" s="1145" t="s">
        <v>1471</v>
      </c>
      <c r="BL17" s="1145" t="s">
        <v>1471</v>
      </c>
      <c r="BN17" s="999" t="s">
        <v>1472</v>
      </c>
      <c r="BR17" s="998" t="s">
        <v>1263</v>
      </c>
      <c r="BS17" s="1356"/>
      <c r="BU17" s="998" t="s">
        <v>1473</v>
      </c>
      <c r="BV17" s="1001"/>
      <c r="BW17" s="1618"/>
      <c r="BX17" s="1620" t="s">
        <v>1474</v>
      </c>
      <c r="CA17" s="998" t="s">
        <v>1475</v>
      </c>
      <c r="CD17" s="998" t="s">
        <v>1476</v>
      </c>
    </row>
    <row r="18" spans="1:82" ht="21" customHeight="1">
      <c r="A18" s="1005" t="s">
        <v>1477</v>
      </c>
      <c r="B18" s="1006">
        <v>2016</v>
      </c>
      <c r="E18" s="1928" t="s">
        <v>1478</v>
      </c>
      <c r="I18" s="1007" t="s">
        <v>1479</v>
      </c>
      <c r="N18" s="1086" t="s">
        <v>1480</v>
      </c>
      <c r="X18" s="1018"/>
      <c r="AW18" s="1048" t="s">
        <v>1467</v>
      </c>
      <c r="AX18" s="1048" t="s">
        <v>1467</v>
      </c>
      <c r="BB18" s="1048" t="s">
        <v>1481</v>
      </c>
      <c r="BC18" s="1048" t="s">
        <v>1321</v>
      </c>
      <c r="BE18" s="1048">
        <v>2016</v>
      </c>
      <c r="BH18" s="999" t="s">
        <v>1423</v>
      </c>
      <c r="BJ18" s="1145" t="s">
        <v>1482</v>
      </c>
      <c r="BL18" s="1145" t="s">
        <v>1482</v>
      </c>
      <c r="BN18" s="999" t="s">
        <v>1483</v>
      </c>
      <c r="BQ18" s="1360" t="s">
        <v>1293</v>
      </c>
      <c r="BR18" s="1087" t="s">
        <v>1294</v>
      </c>
      <c r="BS18" s="212"/>
      <c r="BT18" s="1360" t="s">
        <v>1484</v>
      </c>
      <c r="BU18" s="1087" t="s">
        <v>1485</v>
      </c>
      <c r="BV18" s="1001"/>
      <c r="BW18" s="1625" t="s">
        <v>1486</v>
      </c>
      <c r="BX18" s="1619" t="s">
        <v>1487</v>
      </c>
      <c r="BZ18" s="1360" t="s">
        <v>1488</v>
      </c>
      <c r="CA18" s="1087" t="s">
        <v>1489</v>
      </c>
      <c r="CC18" s="1360" t="s">
        <v>1490</v>
      </c>
      <c r="CD18" s="1087" t="s">
        <v>1491</v>
      </c>
    </row>
    <row r="19" spans="1:82" ht="21" customHeight="1">
      <c r="A19" s="1796" t="s">
        <v>1492</v>
      </c>
      <c r="B19" s="1006">
        <v>2017</v>
      </c>
      <c r="E19" s="1005" t="s">
        <v>165</v>
      </c>
      <c r="I19" s="1007" t="s">
        <v>1493</v>
      </c>
      <c r="N19" s="1086" t="s">
        <v>1494</v>
      </c>
      <c r="X19" s="1018"/>
      <c r="AW19" s="1048" t="s">
        <v>1479</v>
      </c>
      <c r="AX19" s="1048" t="s">
        <v>1479</v>
      </c>
      <c r="AZ19" s="998" t="s">
        <v>1495</v>
      </c>
      <c r="BB19" s="1048" t="s">
        <v>1496</v>
      </c>
      <c r="BC19" s="1048" t="s">
        <v>1321</v>
      </c>
      <c r="BE19" s="1048">
        <v>2017</v>
      </c>
      <c r="BH19" s="999" t="s">
        <v>1497</v>
      </c>
      <c r="BJ19" s="1145" t="s">
        <v>1498</v>
      </c>
      <c r="BL19" s="1145" t="s">
        <v>1498</v>
      </c>
      <c r="BQ19" s="1209">
        <v>4190064</v>
      </c>
      <c r="BR19" s="999" t="s">
        <v>1499</v>
      </c>
      <c r="BS19" s="1357"/>
      <c r="BT19" s="1209">
        <v>4189671</v>
      </c>
      <c r="BU19" s="999" t="s">
        <v>1500</v>
      </c>
      <c r="BV19" s="1001"/>
      <c r="BW19" s="1623">
        <v>4189706</v>
      </c>
      <c r="BX19" s="1621" t="s">
        <v>1501</v>
      </c>
      <c r="BZ19" s="1209">
        <v>4189714</v>
      </c>
      <c r="CA19" s="999" t="s">
        <v>1502</v>
      </c>
      <c r="CC19" s="1209">
        <v>4189708</v>
      </c>
      <c r="CD19" s="999" t="s">
        <v>1503</v>
      </c>
    </row>
    <row r="20" spans="1:82" ht="21" customHeight="1">
      <c r="A20" s="1005" t="s">
        <v>1504</v>
      </c>
      <c r="B20" s="1006">
        <v>2018</v>
      </c>
      <c r="E20" s="1005" t="s">
        <v>1252</v>
      </c>
      <c r="I20" s="1007" t="s">
        <v>1505</v>
      </c>
      <c r="N20" s="1086" t="s">
        <v>1506</v>
      </c>
      <c r="AW20" s="1048" t="s">
        <v>1493</v>
      </c>
      <c r="AX20" s="1048" t="s">
        <v>1493</v>
      </c>
      <c r="AZ20" s="1048" t="s">
        <v>1507</v>
      </c>
      <c r="BB20" s="1048" t="s">
        <v>1508</v>
      </c>
      <c r="BC20" s="1048" t="s">
        <v>1438</v>
      </c>
      <c r="BE20" s="1048">
        <v>2018</v>
      </c>
      <c r="BH20" s="999" t="s">
        <v>1434</v>
      </c>
      <c r="BJ20" s="999" t="s">
        <v>1361</v>
      </c>
      <c r="BL20" s="999" t="s">
        <v>1361</v>
      </c>
      <c r="BQ20" s="1209">
        <v>4190065</v>
      </c>
      <c r="BR20" s="999" t="s">
        <v>1509</v>
      </c>
      <c r="BS20" s="1357"/>
      <c r="BT20" s="1209">
        <v>4189672</v>
      </c>
      <c r="BU20" s="999" t="s">
        <v>1510</v>
      </c>
      <c r="BV20" s="1001"/>
      <c r="BW20" s="1623">
        <v>4189705</v>
      </c>
      <c r="BX20" s="1621" t="s">
        <v>1511</v>
      </c>
      <c r="BZ20" s="1209">
        <v>4189713</v>
      </c>
      <c r="CA20" s="999" t="s">
        <v>1511</v>
      </c>
      <c r="CC20" s="1209">
        <v>4189709</v>
      </c>
      <c r="CD20" s="999" t="s">
        <v>1512</v>
      </c>
    </row>
    <row r="21" spans="1:82" ht="21" customHeight="1">
      <c r="A21" s="1005" t="s">
        <v>1513</v>
      </c>
      <c r="B21" s="1006">
        <v>2019</v>
      </c>
      <c r="I21" s="1007" t="s">
        <v>1514</v>
      </c>
      <c r="N21" s="1086" t="s">
        <v>1515</v>
      </c>
      <c r="AW21" s="1048" t="s">
        <v>1505</v>
      </c>
      <c r="AX21" s="1048" t="s">
        <v>1505</v>
      </c>
      <c r="AZ21" s="1048" t="s">
        <v>1516</v>
      </c>
      <c r="BB21" s="1048" t="s">
        <v>1517</v>
      </c>
      <c r="BC21" s="1048" t="s">
        <v>1321</v>
      </c>
      <c r="BE21" s="1048">
        <v>2019</v>
      </c>
      <c r="BH21" s="999" t="s">
        <v>1441</v>
      </c>
      <c r="BJ21" s="999" t="s">
        <v>1377</v>
      </c>
      <c r="BL21" s="999" t="s">
        <v>1377</v>
      </c>
      <c r="BQ21" s="1209">
        <v>4190066</v>
      </c>
      <c r="BR21" s="999" t="s">
        <v>1518</v>
      </c>
      <c r="BS21" s="1357"/>
      <c r="BT21" s="1209">
        <v>4189673</v>
      </c>
      <c r="BU21" s="999" t="s">
        <v>1519</v>
      </c>
      <c r="BV21" s="1001"/>
      <c r="BW21" s="1623">
        <v>4189707</v>
      </c>
      <c r="BX21" s="1621" t="s">
        <v>1520</v>
      </c>
      <c r="BZ21" s="1209">
        <v>4189712</v>
      </c>
      <c r="CA21" s="999" t="s">
        <v>1521</v>
      </c>
      <c r="CC21" s="1209">
        <v>4189710</v>
      </c>
      <c r="CD21" s="999" t="s">
        <v>1522</v>
      </c>
    </row>
    <row r="22" spans="1:82" ht="21" customHeight="1">
      <c r="A22" s="1005" t="s">
        <v>1523</v>
      </c>
      <c r="B22" s="1006">
        <v>2020</v>
      </c>
      <c r="N22" s="1086" t="s">
        <v>1524</v>
      </c>
      <c r="AW22" s="1048" t="s">
        <v>1514</v>
      </c>
      <c r="AX22" s="1048" t="s">
        <v>1514</v>
      </c>
      <c r="AZ22" s="1048" t="s">
        <v>1525</v>
      </c>
      <c r="BB22" s="1048" t="s">
        <v>1526</v>
      </c>
      <c r="BC22" s="1048" t="s">
        <v>1321</v>
      </c>
      <c r="BE22" s="1048">
        <v>2020</v>
      </c>
      <c r="BH22" s="999" t="s">
        <v>1448</v>
      </c>
      <c r="BJ22" s="999" t="s">
        <v>1393</v>
      </c>
      <c r="BL22" s="999" t="s">
        <v>1393</v>
      </c>
      <c r="BQ22" s="1209">
        <v>4190067</v>
      </c>
      <c r="BR22" s="999" t="s">
        <v>1527</v>
      </c>
      <c r="BS22" s="1357"/>
      <c r="BT22" s="1209">
        <v>4189674</v>
      </c>
      <c r="BU22" s="999" t="s">
        <v>1528</v>
      </c>
      <c r="BV22" s="1001"/>
      <c r="BW22" s="1001"/>
      <c r="CC22" s="1209">
        <v>4189711</v>
      </c>
      <c r="CD22" s="999" t="s">
        <v>291</v>
      </c>
    </row>
    <row r="23" spans="1:82" ht="21" customHeight="1">
      <c r="A23" s="1005" t="s">
        <v>1529</v>
      </c>
      <c r="B23" s="1006">
        <v>2021</v>
      </c>
      <c r="AW23" s="1048" t="s">
        <v>1530</v>
      </c>
      <c r="AX23" s="1048" t="s">
        <v>1530</v>
      </c>
      <c r="AZ23" s="1048" t="s">
        <v>1531</v>
      </c>
      <c r="BB23" s="1048" t="s">
        <v>1532</v>
      </c>
      <c r="BC23" s="1048" t="s">
        <v>1229</v>
      </c>
      <c r="BE23" s="1048">
        <v>2021</v>
      </c>
      <c r="BH23" s="999" t="s">
        <v>1456</v>
      </c>
      <c r="BJ23" s="999" t="s">
        <v>1409</v>
      </c>
      <c r="BL23" s="999" t="s">
        <v>1409</v>
      </c>
      <c r="BQ23" s="1209">
        <v>4190068</v>
      </c>
      <c r="BR23" s="999" t="s">
        <v>1533</v>
      </c>
      <c r="BS23" s="1357"/>
      <c r="BT23" s="1209">
        <v>4189675</v>
      </c>
      <c r="BU23" s="999" t="s">
        <v>1534</v>
      </c>
      <c r="BV23" s="1001"/>
      <c r="BW23" s="1001"/>
      <c r="CC23" s="1209">
        <v>5110778</v>
      </c>
      <c r="CD23" s="999" t="s">
        <v>1535</v>
      </c>
    </row>
    <row r="24" spans="1:82" ht="21" customHeight="1">
      <c r="A24" s="1005" t="s">
        <v>1536</v>
      </c>
      <c r="B24" s="1006">
        <v>2022</v>
      </c>
      <c r="AW24" s="1048" t="s">
        <v>1537</v>
      </c>
      <c r="AX24" s="1048" t="s">
        <v>1537</v>
      </c>
      <c r="AZ24" s="1048" t="s">
        <v>1538</v>
      </c>
      <c r="BB24" s="1048" t="s">
        <v>1539</v>
      </c>
      <c r="BC24" s="1048" t="s">
        <v>1540</v>
      </c>
      <c r="BE24" s="1048">
        <v>2022</v>
      </c>
      <c r="BH24" s="999" t="s">
        <v>1465</v>
      </c>
      <c r="BJ24" s="999" t="s">
        <v>1423</v>
      </c>
      <c r="BL24" s="999" t="s">
        <v>1423</v>
      </c>
      <c r="BQ24" s="1209">
        <v>4190069</v>
      </c>
      <c r="BR24" s="999" t="s">
        <v>1541</v>
      </c>
      <c r="BS24" s="1357"/>
      <c r="BT24" s="1209">
        <v>4189676</v>
      </c>
      <c r="BU24" s="999" t="s">
        <v>1542</v>
      </c>
      <c r="BV24" s="1001"/>
      <c r="BW24" s="1001"/>
      <c r="CC24" s="1209">
        <v>25575374</v>
      </c>
      <c r="CD24" s="999" t="s">
        <v>1543</v>
      </c>
    </row>
    <row r="25" spans="1:82" ht="11.25" customHeight="1">
      <c r="A25" s="1005" t="s">
        <v>1544</v>
      </c>
      <c r="B25" s="1006">
        <v>2023</v>
      </c>
      <c r="AW25" s="1048" t="s">
        <v>1545</v>
      </c>
      <c r="AX25" s="1048" t="s">
        <v>1545</v>
      </c>
      <c r="AZ25" s="1048" t="s">
        <v>1546</v>
      </c>
      <c r="BB25" s="1048" t="s">
        <v>1547</v>
      </c>
      <c r="BC25" s="1048" t="s">
        <v>1540</v>
      </c>
      <c r="BE25" s="1048">
        <v>2023</v>
      </c>
      <c r="BH25" s="999" t="s">
        <v>1472</v>
      </c>
      <c r="BJ25" s="999" t="s">
        <v>1497</v>
      </c>
      <c r="BL25" s="999" t="s">
        <v>1497</v>
      </c>
      <c r="BQ25" s="1209">
        <v>4190070</v>
      </c>
      <c r="BR25" s="999" t="s">
        <v>1548</v>
      </c>
      <c r="BS25" s="1357"/>
      <c r="BT25" s="1209">
        <v>4189677</v>
      </c>
      <c r="BU25" s="999" t="s">
        <v>1549</v>
      </c>
      <c r="BV25" s="1001"/>
      <c r="BW25" s="1001"/>
    </row>
    <row r="26" spans="1:82" ht="11.25" customHeight="1">
      <c r="A26" s="1005" t="s">
        <v>1550</v>
      </c>
      <c r="B26" s="1006">
        <v>2024</v>
      </c>
      <c r="J26" s="1658" t="s">
        <v>1551</v>
      </c>
      <c r="AX26" s="1048" t="s">
        <v>1552</v>
      </c>
      <c r="AZ26" s="1048" t="s">
        <v>1416</v>
      </c>
      <c r="BB26" s="1048" t="s">
        <v>1553</v>
      </c>
      <c r="BC26" s="1048" t="s">
        <v>1540</v>
      </c>
      <c r="BE26" s="1048">
        <v>2024</v>
      </c>
      <c r="BH26" s="999" t="s">
        <v>1483</v>
      </c>
      <c r="BJ26" s="999" t="s">
        <v>1434</v>
      </c>
      <c r="BL26" s="999" t="s">
        <v>1434</v>
      </c>
      <c r="BQ26" s="1209">
        <v>4190071</v>
      </c>
      <c r="BR26" s="999" t="s">
        <v>1554</v>
      </c>
      <c r="BS26" s="1357"/>
      <c r="BV26" s="1001"/>
      <c r="BW26" s="1001"/>
    </row>
    <row r="27" spans="1:82" ht="11.25" customHeight="1">
      <c r="A27" s="1005" t="s">
        <v>1555</v>
      </c>
      <c r="B27" s="1006">
        <v>2025</v>
      </c>
      <c r="J27" s="114" t="s">
        <v>687</v>
      </c>
      <c r="AX27" s="1048" t="s">
        <v>1556</v>
      </c>
      <c r="BB27" s="1048" t="s">
        <v>1557</v>
      </c>
      <c r="BC27" s="1048" t="s">
        <v>1540</v>
      </c>
      <c r="BE27" s="1048">
        <v>2025</v>
      </c>
      <c r="BH27" s="1001" t="s">
        <v>22</v>
      </c>
      <c r="BJ27" s="999" t="s">
        <v>1441</v>
      </c>
      <c r="BL27" s="999" t="s">
        <v>1441</v>
      </c>
      <c r="BN27" s="1001" t="s">
        <v>22</v>
      </c>
      <c r="BQ27" s="1209">
        <v>4190072</v>
      </c>
      <c r="BR27" s="999" t="s">
        <v>1558</v>
      </c>
      <c r="BS27" s="1357"/>
      <c r="BV27" s="1001"/>
      <c r="BW27" s="1001"/>
    </row>
    <row r="28" spans="1:82" ht="11.25" customHeight="1">
      <c r="A28" s="1005" t="s">
        <v>1559</v>
      </c>
      <c r="D28" s="1030"/>
      <c r="E28" s="1031"/>
      <c r="F28" s="1031"/>
      <c r="H28" s="1032" t="s">
        <v>1560</v>
      </c>
      <c r="AX28" s="1048" t="s">
        <v>1561</v>
      </c>
      <c r="AZ28" s="998" t="s">
        <v>1562</v>
      </c>
      <c r="BB28" s="1048" t="s">
        <v>1563</v>
      </c>
      <c r="BC28" s="1048" t="s">
        <v>1564</v>
      </c>
      <c r="BE28" s="1048">
        <v>2026</v>
      </c>
      <c r="BH28" s="1001" t="s">
        <v>22</v>
      </c>
      <c r="BJ28" s="999" t="s">
        <v>1448</v>
      </c>
      <c r="BL28" s="999" t="s">
        <v>1448</v>
      </c>
      <c r="BN28" s="1001" t="s">
        <v>22</v>
      </c>
      <c r="BQ28" s="1209">
        <v>4190073</v>
      </c>
      <c r="BR28" s="999" t="s">
        <v>1565</v>
      </c>
      <c r="BS28" s="1357"/>
      <c r="BV28" s="1001"/>
      <c r="BW28" s="1001"/>
    </row>
    <row r="29" spans="1:82" ht="11.25" customHeight="1">
      <c r="A29" s="1005" t="s">
        <v>1566</v>
      </c>
      <c r="D29" s="1033" t="s">
        <v>1567</v>
      </c>
      <c r="E29" s="1034" t="str">
        <f>IF(TEMPLATE_GROUP="","",INDEX(StartDateList,MATCH(TEMPLATE_GROUP,CodeTemplateList,0),1))</f>
        <v>01.01.2024</v>
      </c>
      <c r="F29" s="1034" t="str">
        <f>IF(TEMPLATE_GROUP="","",INDEX(EndDateList,MATCH(TEMPLATE_GROUP,CodeTemplateList,0),1))</f>
        <v>31.03.2024</v>
      </c>
      <c r="H29" s="1035" t="s">
        <v>1568</v>
      </c>
      <c r="AX29" s="1048" t="s">
        <v>1569</v>
      </c>
      <c r="AZ29" s="1048" t="s">
        <v>1213</v>
      </c>
      <c r="BB29" s="1048" t="s">
        <v>1416</v>
      </c>
      <c r="BC29" s="1021"/>
      <c r="BE29" s="1048">
        <v>2027</v>
      </c>
      <c r="BJ29" s="999" t="s">
        <v>1456</v>
      </c>
      <c r="BL29" s="999" t="s">
        <v>1456</v>
      </c>
    </row>
    <row r="30" spans="1:82" ht="11.25" customHeight="1">
      <c r="A30" s="1005" t="s">
        <v>1570</v>
      </c>
      <c r="D30" s="1036"/>
      <c r="E30" s="1037"/>
      <c r="F30" s="1037"/>
      <c r="AX30" s="1048" t="s">
        <v>1571</v>
      </c>
      <c r="AZ30" s="1048" t="s">
        <v>1241</v>
      </c>
      <c r="BE30" s="1048">
        <v>2028</v>
      </c>
      <c r="BJ30" s="999" t="s">
        <v>1572</v>
      </c>
      <c r="BL30" s="999" t="s">
        <v>1572</v>
      </c>
    </row>
    <row r="31" spans="1:82" ht="12.75" customHeight="1">
      <c r="A31" s="1005" t="s">
        <v>1573</v>
      </c>
      <c r="D31" s="1030"/>
      <c r="E31" s="1031"/>
      <c r="F31" s="1031"/>
      <c r="H31" s="1038"/>
      <c r="AX31" s="1048" t="s">
        <v>1574</v>
      </c>
      <c r="AZ31" s="1048" t="s">
        <v>1575</v>
      </c>
      <c r="BE31" s="1048">
        <v>2029</v>
      </c>
      <c r="BJ31" s="999" t="s">
        <v>1576</v>
      </c>
      <c r="BL31" s="999" t="s">
        <v>1576</v>
      </c>
    </row>
    <row r="32" spans="1:82" ht="11.25" customHeight="1">
      <c r="A32" s="1005" t="s">
        <v>1577</v>
      </c>
      <c r="D32" s="1033" t="s">
        <v>1578</v>
      </c>
      <c r="E32" s="1034" t="str">
        <f>IF(TEMPLATE_GROUP="","",INDEX(StartDateList,MATCH(TEMPLATE_GROUP,CodeTemplateList,0),1))</f>
        <v>01.01.2024</v>
      </c>
      <c r="F32" s="1034" t="str">
        <f>IF(TEMPLATE_GROUP="","",INDEX(EndDateList,MATCH(TEMPLATE_GROUP,CodeTemplateList,0),1))</f>
        <v>31.03.2024</v>
      </c>
      <c r="H32" s="1039" t="s">
        <v>1579</v>
      </c>
      <c r="O32" s="1005" t="s">
        <v>1211</v>
      </c>
      <c r="AX32" s="1048" t="s">
        <v>1580</v>
      </c>
      <c r="AZ32" s="1048" t="s">
        <v>1309</v>
      </c>
      <c r="BE32" s="1048">
        <v>2030</v>
      </c>
      <c r="BJ32" s="999" t="s">
        <v>1465</v>
      </c>
      <c r="BL32" s="999" t="s">
        <v>1465</v>
      </c>
    </row>
    <row r="33" spans="1:66" ht="11.25" customHeight="1">
      <c r="A33" s="1005" t="s">
        <v>1581</v>
      </c>
      <c r="O33" s="1005" t="s">
        <v>1238</v>
      </c>
      <c r="AX33" s="1048" t="s">
        <v>1582</v>
      </c>
      <c r="AZ33" s="1048" t="s">
        <v>1212</v>
      </c>
      <c r="BE33" s="1048">
        <v>2031</v>
      </c>
      <c r="BJ33" s="999" t="s">
        <v>1472</v>
      </c>
      <c r="BL33" s="999" t="s">
        <v>1472</v>
      </c>
    </row>
    <row r="34" spans="1:66" ht="11.25" customHeight="1">
      <c r="A34" s="1005" t="s">
        <v>1583</v>
      </c>
      <c r="O34" s="1005" t="s">
        <v>1274</v>
      </c>
      <c r="AX34" s="1048" t="s">
        <v>1584</v>
      </c>
      <c r="BE34" s="1048">
        <v>2032</v>
      </c>
      <c r="BJ34" s="999" t="s">
        <v>1483</v>
      </c>
      <c r="BL34" s="999" t="s">
        <v>1483</v>
      </c>
    </row>
    <row r="35" spans="1:66" ht="11.25" customHeight="1">
      <c r="A35" s="1005" t="s">
        <v>1585</v>
      </c>
      <c r="O35" s="1005" t="s">
        <v>1307</v>
      </c>
      <c r="AX35" s="1048" t="s">
        <v>1586</v>
      </c>
      <c r="AZ35" s="998" t="s">
        <v>1587</v>
      </c>
      <c r="BE35" s="1048">
        <v>2033</v>
      </c>
      <c r="BL35" s="999" t="s">
        <v>1588</v>
      </c>
    </row>
    <row r="36" spans="1:66" ht="11.25" customHeight="1">
      <c r="A36" s="1796" t="s">
        <v>1589</v>
      </c>
      <c r="D36" s="1040" t="s">
        <v>1590</v>
      </c>
      <c r="E36" s="1041" t="s">
        <v>852</v>
      </c>
      <c r="F36" s="1042" t="str">
        <f>INDEX(E37:E41,MATCH(TEMPLATE_SPHERE,F37:F41,0))</f>
        <v>холодного водоснабжения</v>
      </c>
      <c r="G36" s="1042" t="str">
        <f>INDEX(G37:G41,MATCH(TEMPLATE_SPHERE,F37:F41,0))</f>
        <v>холодное водоснабжение</v>
      </c>
      <c r="O36" s="1005" t="s">
        <v>1332</v>
      </c>
      <c r="AX36" s="1048" t="s">
        <v>1591</v>
      </c>
      <c r="AZ36" s="1048" t="s">
        <v>1212</v>
      </c>
      <c r="BE36" s="1048">
        <v>2034</v>
      </c>
      <c r="BL36" s="999" t="s">
        <v>1592</v>
      </c>
    </row>
    <row r="37" spans="1:66" ht="11.25" customHeight="1">
      <c r="A37" s="1005" t="s">
        <v>1593</v>
      </c>
      <c r="E37" s="345" t="s">
        <v>1594</v>
      </c>
      <c r="F37" s="1043" t="s">
        <v>806</v>
      </c>
      <c r="G37" s="345" t="s">
        <v>1595</v>
      </c>
      <c r="O37" s="1005" t="s">
        <v>1351</v>
      </c>
      <c r="AX37" s="1048" t="s">
        <v>1596</v>
      </c>
      <c r="AZ37" s="1048" t="s">
        <v>1240</v>
      </c>
      <c r="BE37" s="1048">
        <v>2035</v>
      </c>
    </row>
    <row r="38" spans="1:66" ht="11.25" customHeight="1">
      <c r="A38" s="1005" t="s">
        <v>1597</v>
      </c>
      <c r="E38" s="345" t="s">
        <v>1598</v>
      </c>
      <c r="F38" s="1044" t="s">
        <v>852</v>
      </c>
      <c r="G38" s="345" t="s">
        <v>1599</v>
      </c>
      <c r="O38" s="1005" t="s">
        <v>1368</v>
      </c>
      <c r="AX38" s="1048" t="s">
        <v>1600</v>
      </c>
      <c r="AZ38" s="1048" t="s">
        <v>1275</v>
      </c>
      <c r="BE38" s="1048">
        <v>2036</v>
      </c>
      <c r="BH38" s="998" t="s">
        <v>1601</v>
      </c>
      <c r="BJ38" s="998" t="s">
        <v>1602</v>
      </c>
      <c r="BL38" s="998" t="s">
        <v>1603</v>
      </c>
      <c r="BN38" s="998" t="s">
        <v>1604</v>
      </c>
    </row>
    <row r="39" spans="1:66" ht="11.25" customHeight="1">
      <c r="A39" s="1005" t="s">
        <v>1605</v>
      </c>
      <c r="E39" s="345" t="s">
        <v>1606</v>
      </c>
      <c r="F39" s="1044" t="s">
        <v>905</v>
      </c>
      <c r="G39" s="345" t="s">
        <v>1607</v>
      </c>
      <c r="O39" s="1005" t="s">
        <v>1384</v>
      </c>
      <c r="AX39" s="1048" t="s">
        <v>1608</v>
      </c>
      <c r="AZ39" s="1048" t="s">
        <v>1308</v>
      </c>
      <c r="BE39" s="1048">
        <v>2037</v>
      </c>
      <c r="BH39" s="999" t="s">
        <v>1609</v>
      </c>
      <c r="BJ39" s="1145" t="s">
        <v>1609</v>
      </c>
      <c r="BL39" s="1145" t="s">
        <v>1609</v>
      </c>
      <c r="BN39" s="999" t="s">
        <v>1610</v>
      </c>
    </row>
    <row r="40" spans="1:66" ht="11.25" customHeight="1">
      <c r="A40" s="1005" t="s">
        <v>1611</v>
      </c>
      <c r="E40" s="345" t="s">
        <v>1612</v>
      </c>
      <c r="F40" s="1044" t="s">
        <v>892</v>
      </c>
      <c r="G40" s="345" t="s">
        <v>1613</v>
      </c>
      <c r="O40" s="1005" t="s">
        <v>1400</v>
      </c>
      <c r="AX40" s="1048" t="s">
        <v>1614</v>
      </c>
      <c r="BE40" s="1048">
        <v>2038</v>
      </c>
      <c r="BH40" s="999" t="s">
        <v>1615</v>
      </c>
      <c r="BJ40" s="1145" t="s">
        <v>1025</v>
      </c>
      <c r="BL40" s="1145" t="s">
        <v>1025</v>
      </c>
      <c r="BN40" s="999" t="s">
        <v>1059</v>
      </c>
    </row>
    <row r="41" spans="1:66" ht="11.25" customHeight="1">
      <c r="A41" s="1005" t="s">
        <v>16</v>
      </c>
      <c r="E41" s="345" t="s">
        <v>1616</v>
      </c>
      <c r="F41" s="1044" t="s">
        <v>1617</v>
      </c>
      <c r="G41" s="345" t="s">
        <v>1616</v>
      </c>
      <c r="O41" s="1005" t="s">
        <v>1416</v>
      </c>
      <c r="AX41" s="1048" t="s">
        <v>1618</v>
      </c>
      <c r="AZ41" s="998" t="s">
        <v>1619</v>
      </c>
      <c r="BE41" s="1048">
        <v>2039</v>
      </c>
      <c r="BH41" s="999" t="s">
        <v>1620</v>
      </c>
      <c r="BJ41" s="1145" t="s">
        <v>1021</v>
      </c>
      <c r="BL41" s="1145" t="s">
        <v>1021</v>
      </c>
      <c r="BN41" s="999" t="s">
        <v>1046</v>
      </c>
    </row>
    <row r="42" spans="1:66" ht="11.25" customHeight="1">
      <c r="A42" s="1005" t="s">
        <v>1621</v>
      </c>
      <c r="AX42" s="1048" t="s">
        <v>1622</v>
      </c>
      <c r="AZ42" s="1048" t="s">
        <v>1211</v>
      </c>
      <c r="BE42" s="1048">
        <v>2040</v>
      </c>
      <c r="BH42" s="999" t="s">
        <v>1043</v>
      </c>
      <c r="BJ42" s="1145" t="s">
        <v>1023</v>
      </c>
      <c r="BL42" s="1145" t="s">
        <v>1023</v>
      </c>
      <c r="BN42" s="999" t="s">
        <v>1623</v>
      </c>
    </row>
    <row r="43" spans="1:66" ht="11.25" customHeight="1">
      <c r="A43" s="1005" t="s">
        <v>1624</v>
      </c>
      <c r="AX43" s="1048" t="s">
        <v>1625</v>
      </c>
      <c r="AZ43" s="1048" t="s">
        <v>1238</v>
      </c>
      <c r="BE43" s="1048">
        <v>2041</v>
      </c>
      <c r="BH43" s="999" t="s">
        <v>1626</v>
      </c>
      <c r="BJ43" s="1145" t="s">
        <v>1620</v>
      </c>
      <c r="BL43" s="1145" t="s">
        <v>1620</v>
      </c>
      <c r="BN43" s="999" t="s">
        <v>1627</v>
      </c>
    </row>
    <row r="44" spans="1:66" ht="11.25" customHeight="1">
      <c r="A44" s="1005" t="s">
        <v>1628</v>
      </c>
      <c r="G44" s="1024">
        <f ca="1">YEAR(TODAY())</f>
        <v>2024</v>
      </c>
      <c r="I44" s="731" t="s">
        <v>1629</v>
      </c>
      <c r="J44" s="1020" t="s">
        <v>1630</v>
      </c>
      <c r="K44" s="1020" t="s">
        <v>1631</v>
      </c>
      <c r="AX44" s="1048" t="s">
        <v>1632</v>
      </c>
      <c r="AZ44" s="1048" t="s">
        <v>1274</v>
      </c>
      <c r="BE44" s="1048">
        <v>2042</v>
      </c>
      <c r="BH44" s="999" t="s">
        <v>1633</v>
      </c>
      <c r="BJ44" s="1145" t="s">
        <v>1043</v>
      </c>
      <c r="BL44" s="1145" t="s">
        <v>1043</v>
      </c>
      <c r="BN44" s="999" t="s">
        <v>1634</v>
      </c>
    </row>
    <row r="45" spans="1:66" ht="11.25" customHeight="1">
      <c r="A45" s="1005" t="s">
        <v>1635</v>
      </c>
      <c r="D45" s="1040" t="s">
        <v>1636</v>
      </c>
      <c r="E45" s="1041" t="s">
        <v>1637</v>
      </c>
      <c r="F45" s="729" t="s">
        <v>1638</v>
      </c>
      <c r="G45" s="728" t="s">
        <v>1639</v>
      </c>
      <c r="H45" s="731" t="s">
        <v>1640</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8" t="s">
        <v>1641</v>
      </c>
      <c r="AZ45" s="1048" t="s">
        <v>1307</v>
      </c>
      <c r="BE45" s="1048">
        <v>2043</v>
      </c>
      <c r="BH45" s="999" t="s">
        <v>1642</v>
      </c>
      <c r="BJ45" s="1145" t="s">
        <v>1037</v>
      </c>
      <c r="BL45" s="1145" t="s">
        <v>1037</v>
      </c>
      <c r="BN45" s="999" t="s">
        <v>1643</v>
      </c>
    </row>
    <row r="46" spans="1:66" ht="11.25" customHeight="1">
      <c r="A46" s="1005" t="s">
        <v>1644</v>
      </c>
      <c r="E46" s="345" t="s">
        <v>27</v>
      </c>
      <c r="F46" s="1043" t="s">
        <v>1645</v>
      </c>
      <c r="G46" s="1045" t="str">
        <f ca="1">IFERROR(IF(TITLE_DATE_FIL="","01.01."&amp;CURRENT_YEAR,"01.01."&amp;YEAR(TITLE_DATE_FIL)),"01.01."&amp;CURRENT_YEAR)</f>
        <v>01.01.2024</v>
      </c>
      <c r="H46" s="1045" t="str">
        <f ca="1">IFERROR(IF(TITLE_DATE_FIL="","31.12."&amp;CURRENT_YEAR,"31.12."&amp;YEAR(TITLE_DATE_FIL)),"31.12."&amp;CURRENT_YEAR)</f>
        <v>31.12.2024</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8" t="s">
        <v>1646</v>
      </c>
      <c r="AZ46" s="1048" t="s">
        <v>1332</v>
      </c>
      <c r="BE46" s="1048">
        <v>2044</v>
      </c>
      <c r="BH46" s="999" t="s">
        <v>1046</v>
      </c>
      <c r="BJ46" s="1145" t="s">
        <v>1027</v>
      </c>
      <c r="BL46" s="1145" t="s">
        <v>1027</v>
      </c>
      <c r="BN46" s="999" t="s">
        <v>1647</v>
      </c>
    </row>
    <row r="47" spans="1:66" ht="11.25" customHeight="1">
      <c r="A47" s="1005" t="s">
        <v>1648</v>
      </c>
      <c r="E47" s="345" t="s">
        <v>33</v>
      </c>
      <c r="F47" s="1044" t="s">
        <v>1637</v>
      </c>
      <c r="G47" s="1045" t="str">
        <f>IFERROR(IF(f_year="","01.01."&amp;CURRENT_YEAR,IF(LEN(f_quart)=0,"01.01."&amp;f_year,IF(f_quart="I квартал","01.01."&amp;f_year,IF(f_quart="II квартал","01.04."&amp;f_year,(IF(f_quart="III квартал","01.07."&amp;f_year,"01.10."&amp;f_year)))))),"01.01."&amp;CURRENT_YEAR)</f>
        <v>01.01.2024</v>
      </c>
      <c r="H47" s="1045" t="str">
        <f>IFERROR(IF(f_year="","31.12."&amp;CURRENT_YEAR,IF(LEN(f_quart)=0,"31.12."&amp;f_year,IF(f_quart="I квартал","31.03."&amp;f_year,IF(f_quart="II квартал","30.06."&amp;f_year,(IF(f_quart="III квартал","30.09."&amp;f_year,"31.12."&amp;f_year)))))),"31.12."&amp;CURRENT_YEAR)</f>
        <v>31.03.2024</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8" t="s">
        <v>1649</v>
      </c>
      <c r="AZ47" s="1048" t="s">
        <v>1351</v>
      </c>
      <c r="BE47" s="1048">
        <v>2045</v>
      </c>
      <c r="BH47" s="999" t="s">
        <v>1623</v>
      </c>
      <c r="BJ47" s="1145" t="s">
        <v>1029</v>
      </c>
      <c r="BL47" s="1145" t="s">
        <v>1029</v>
      </c>
      <c r="BN47" s="999" t="s">
        <v>1650</v>
      </c>
    </row>
    <row r="48" spans="1:66" ht="11.25" customHeight="1">
      <c r="A48" s="1005" t="s">
        <v>1651</v>
      </c>
      <c r="E48" s="345" t="s">
        <v>1652</v>
      </c>
      <c r="F48" s="1044" t="s">
        <v>1653</v>
      </c>
      <c r="G48" s="1045" t="str">
        <f>IFERROR(IF(f_year="","01.01."&amp;CURRENT_YEAR,"01.01."&amp;f_year),"01.01."&amp;CURRENT_YEAR)</f>
        <v>01.01.2024</v>
      </c>
      <c r="H48" s="1045" t="str">
        <f>IFERROR(IF(f_year="","31.12."&amp;CURRENT_YEAR,"31.12."&amp;f_year),"31.12."&amp;CURRENT_YEAR)</f>
        <v>31.12.2024</v>
      </c>
      <c r="I48" s="1669" t="b">
        <f>IF(f_year="",TRUE,FALSE)</f>
        <v>0</v>
      </c>
      <c r="J48" s="1672" t="s">
        <v>1654</v>
      </c>
      <c r="K48" s="1673"/>
      <c r="AX48" s="1048" t="s">
        <v>1655</v>
      </c>
      <c r="AZ48" s="1048" t="s">
        <v>1368</v>
      </c>
      <c r="BE48" s="1048">
        <v>2046</v>
      </c>
      <c r="BH48" s="999" t="s">
        <v>1627</v>
      </c>
      <c r="BJ48" s="1145" t="s">
        <v>1031</v>
      </c>
      <c r="BL48" s="1145" t="s">
        <v>1031</v>
      </c>
      <c r="BN48" s="999" t="s">
        <v>1656</v>
      </c>
    </row>
    <row r="49" spans="1:64" ht="11.25" customHeight="1">
      <c r="A49" s="1005" t="s">
        <v>1657</v>
      </c>
      <c r="E49" s="345" t="s">
        <v>1658</v>
      </c>
      <c r="F49" s="1044" t="s">
        <v>1659</v>
      </c>
      <c r="G49" s="1045" t="str">
        <f>IFERROR(IF(f_year="","01.01."&amp;CURRENT_YEAR,"01.01."&amp;f_year),"01.01."&amp;CURRENT_YEAR)</f>
        <v>01.01.2024</v>
      </c>
      <c r="H49" s="1045" t="str">
        <f>IFERROR(IF(f_year="","31.12."&amp;CURRENT_YEAR,"31.12."&amp;f_year),"31.12."&amp;CURRENT_YEAR)</f>
        <v>31.12.2024</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8" t="s">
        <v>1660</v>
      </c>
      <c r="AZ49" s="1048" t="s">
        <v>1384</v>
      </c>
      <c r="BE49" s="1048">
        <v>2047</v>
      </c>
      <c r="BH49" s="999" t="s">
        <v>1047</v>
      </c>
      <c r="BJ49" s="1145" t="s">
        <v>1033</v>
      </c>
      <c r="BL49" s="1145" t="s">
        <v>1033</v>
      </c>
    </row>
    <row r="50" spans="1:64" ht="11.25" customHeight="1">
      <c r="A50" s="1005" t="s">
        <v>1661</v>
      </c>
      <c r="E50" s="345" t="s">
        <v>1662</v>
      </c>
      <c r="F50" s="1044" t="s">
        <v>1017</v>
      </c>
      <c r="G50" s="1045" t="str">
        <f>IFERROR(IF(f_year="","01.01."&amp;CURRENT_YEAR,"01.01."&amp;f_year),"01.01."&amp;CURRENT_YEAR)</f>
        <v>01.01.2024</v>
      </c>
      <c r="H50" s="1045" t="str">
        <f>IFERROR(IF(f_year="","31.12."&amp;CURRENT_YEAR,"31.12."&amp;f_year),"31.12."&amp;CURRENT_YEAR)</f>
        <v>31.12.2024</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8" t="s">
        <v>98</v>
      </c>
      <c r="AZ50" s="1048" t="s">
        <v>1400</v>
      </c>
      <c r="BE50" s="1048">
        <v>2048</v>
      </c>
      <c r="BH50" s="999" t="s">
        <v>1634</v>
      </c>
      <c r="BJ50" s="1145" t="s">
        <v>1035</v>
      </c>
      <c r="BL50" s="1145" t="s">
        <v>1035</v>
      </c>
    </row>
    <row r="51" spans="1:64" ht="11.25" customHeight="1">
      <c r="A51" s="1005" t="s">
        <v>1663</v>
      </c>
      <c r="E51" s="345" t="s">
        <v>1664</v>
      </c>
      <c r="F51" s="1044" t="s">
        <v>1665</v>
      </c>
      <c r="G51" s="1045" t="str">
        <f ca="1">IFERROR(IF(TITLE_PERIOD_START="","01.01."&amp;CURRENT_YEAR,"01.01."&amp;YEAR(TITLE_PERIOD_START)),"01.01."&amp;CURRENT_YEAR)</f>
        <v>01.01.2024</v>
      </c>
      <c r="H51" s="1045" t="str">
        <f ca="1">IFERROR(IF(TITLE_PERIOD_END="","31.12."&amp;CURRENT_YEAR,"31.12."&amp;YEAR(TITLE_PERIOD_END)),"31.12."&amp;CURRENT_YEAR)</f>
        <v>31.12.2024</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1666</v>
      </c>
      <c r="AZ51" s="1048" t="s">
        <v>1416</v>
      </c>
      <c r="BE51" s="1048">
        <v>2049</v>
      </c>
      <c r="BH51" s="999" t="s">
        <v>1643</v>
      </c>
      <c r="BJ51" s="1145" t="s">
        <v>1667</v>
      </c>
      <c r="BL51" s="1145" t="s">
        <v>1667</v>
      </c>
    </row>
    <row r="52" spans="1:64" ht="11.25" customHeight="1">
      <c r="A52" s="1005" t="s">
        <v>1668</v>
      </c>
      <c r="E52" s="345" t="s">
        <v>1669</v>
      </c>
      <c r="F52" s="1044" t="s">
        <v>1670</v>
      </c>
      <c r="G52" s="1045" t="str">
        <f ca="1">IFERROR(IF(TITLE_PERIOD_START="","01.01."&amp;CURRENT_YEAR,"01.01."&amp;YEAR(TITLE_PERIOD_START)),"01.01."&amp;CURRENT_YEAR)</f>
        <v>01.01.2024</v>
      </c>
      <c r="H52" s="1045" t="str">
        <f ca="1">IFERROR(IF(TITLE_PERIOD_END="","31.12."&amp;CURRENT_YEAR,"31.12."&amp;YEAR(TITLE_PERIOD_END)),"31.12."&amp;CURRENT_YEAR)</f>
        <v>31.12.2024</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8" t="s">
        <v>1671</v>
      </c>
      <c r="AZ52" s="1048" t="s">
        <v>1212</v>
      </c>
      <c r="BE52" s="1048">
        <v>2050</v>
      </c>
      <c r="BH52" s="999" t="s">
        <v>1647</v>
      </c>
      <c r="BJ52" s="1145" t="s">
        <v>1046</v>
      </c>
      <c r="BL52" s="1145" t="s">
        <v>1046</v>
      </c>
    </row>
    <row r="53" spans="1:64" ht="11.25" customHeight="1">
      <c r="A53" s="1005" t="s">
        <v>1672</v>
      </c>
      <c r="E53" s="345" t="s">
        <v>1673</v>
      </c>
      <c r="F53" s="1044" t="s">
        <v>1673</v>
      </c>
      <c r="G53" s="1045" t="str">
        <f>IFERROR(IF(f_year="","01.01."&amp;CURRENT_YEAR,"01.01."&amp;f_year),"01.01."&amp;CURRENT_YEAR)</f>
        <v>01.01.2024</v>
      </c>
      <c r="H53" s="1045" t="str">
        <f>IFERROR(IF(f_year="","31.12."&amp;CURRENT_YEAR,"31.12."&amp;f_year),"31.12."&amp;CURRENT_YEAR)</f>
        <v>31.12.2024</v>
      </c>
      <c r="I53" s="1669" t="b">
        <f>IF(AND(f_year="",TITLE_DATE_FIL=""),TRUE,FALSE)</f>
        <v>0</v>
      </c>
      <c r="J53" s="1672" t="s">
        <v>1674</v>
      </c>
      <c r="K53" s="1673"/>
      <c r="AX53" s="1048" t="s">
        <v>1675</v>
      </c>
      <c r="BE53" s="1048">
        <v>2051</v>
      </c>
      <c r="BH53" s="999" t="s">
        <v>1650</v>
      </c>
      <c r="BJ53" s="1145" t="s">
        <v>1623</v>
      </c>
      <c r="BL53" s="1145" t="s">
        <v>1623</v>
      </c>
    </row>
    <row r="54" spans="1:64" ht="11.25" customHeight="1">
      <c r="A54" s="1005" t="s">
        <v>1676</v>
      </c>
      <c r="AX54" s="1048" t="s">
        <v>1677</v>
      </c>
      <c r="AZ54" s="998" t="s">
        <v>1678</v>
      </c>
      <c r="BE54" s="1048">
        <v>2052</v>
      </c>
      <c r="BH54" s="999" t="s">
        <v>1656</v>
      </c>
      <c r="BJ54" s="1145" t="s">
        <v>1627</v>
      </c>
      <c r="BL54" s="1145" t="s">
        <v>1627</v>
      </c>
    </row>
    <row r="55" spans="1:64" ht="11.25" customHeight="1">
      <c r="A55" s="1005" t="s">
        <v>1679</v>
      </c>
      <c r="AX55" s="1048" t="s">
        <v>1680</v>
      </c>
      <c r="AZ55" s="1048" t="s">
        <v>1214</v>
      </c>
      <c r="BE55" s="1048">
        <v>2053</v>
      </c>
      <c r="BH55" s="1001" t="s">
        <v>22</v>
      </c>
      <c r="BJ55" s="1145" t="s">
        <v>1047</v>
      </c>
      <c r="BL55" s="1145" t="s">
        <v>1047</v>
      </c>
    </row>
    <row r="56" spans="1:64" ht="11.25" customHeight="1">
      <c r="A56" s="1005" t="s">
        <v>1681</v>
      </c>
      <c r="D56" s="1047" t="s">
        <v>1682</v>
      </c>
      <c r="E56" s="1025" t="s">
        <v>110</v>
      </c>
      <c r="F56" s="1005" t="s">
        <v>1683</v>
      </c>
      <c r="AX56" s="1048" t="s">
        <v>1684</v>
      </c>
      <c r="AZ56" s="1048" t="s">
        <v>1242</v>
      </c>
      <c r="BE56" s="1048">
        <v>2054</v>
      </c>
      <c r="BH56" s="1001" t="s">
        <v>22</v>
      </c>
      <c r="BJ56" s="1145" t="s">
        <v>1634</v>
      </c>
      <c r="BL56" s="1145" t="s">
        <v>1634</v>
      </c>
    </row>
    <row r="57" spans="1:64" ht="11.25" customHeight="1">
      <c r="A57" s="1005" t="s">
        <v>1685</v>
      </c>
      <c r="D57" s="1047" t="s">
        <v>1686</v>
      </c>
      <c r="E57" s="1025" t="s">
        <v>110</v>
      </c>
      <c r="F57" s="1005" t="s">
        <v>1683</v>
      </c>
      <c r="AX57" s="1048" t="s">
        <v>1687</v>
      </c>
      <c r="AZ57" s="1048" t="s">
        <v>1277</v>
      </c>
      <c r="BE57" s="1048">
        <v>2055</v>
      </c>
      <c r="BJ57" s="1145" t="s">
        <v>1643</v>
      </c>
      <c r="BL57" s="1145" t="s">
        <v>1643</v>
      </c>
    </row>
    <row r="58" spans="1:64" ht="11.25" customHeight="1">
      <c r="A58" s="1005" t="s">
        <v>1688</v>
      </c>
      <c r="D58" s="1047" t="s">
        <v>1689</v>
      </c>
      <c r="E58" s="1025" t="s">
        <v>110</v>
      </c>
      <c r="F58" s="1005" t="s">
        <v>1683</v>
      </c>
      <c r="AX58" s="1048" t="s">
        <v>1690</v>
      </c>
      <c r="BE58" s="1048">
        <v>2056</v>
      </c>
      <c r="BJ58" s="1145" t="s">
        <v>1647</v>
      </c>
      <c r="BL58" s="1145" t="s">
        <v>1647</v>
      </c>
    </row>
    <row r="59" spans="1:64" ht="11.25" customHeight="1">
      <c r="A59" s="1005" t="s">
        <v>1691</v>
      </c>
      <c r="D59" s="1047" t="s">
        <v>131</v>
      </c>
      <c r="E59" s="1025" t="s">
        <v>1580</v>
      </c>
      <c r="F59" s="1005" t="s">
        <v>1692</v>
      </c>
      <c r="AX59" s="1048" t="s">
        <v>1693</v>
      </c>
      <c r="AZ59" s="998" t="s">
        <v>1694</v>
      </c>
      <c r="BE59" s="1048">
        <v>2057</v>
      </c>
      <c r="BJ59" s="1145" t="s">
        <v>1650</v>
      </c>
      <c r="BL59" s="1145" t="s">
        <v>1650</v>
      </c>
    </row>
    <row r="60" spans="1:64" ht="11.25" customHeight="1">
      <c r="A60" s="1005" t="s">
        <v>1695</v>
      </c>
      <c r="D60" s="1047" t="s">
        <v>1696</v>
      </c>
      <c r="E60" s="1025" t="s">
        <v>1580</v>
      </c>
      <c r="F60" s="1005" t="s">
        <v>1692</v>
      </c>
      <c r="AX60" s="1048" t="s">
        <v>1697</v>
      </c>
      <c r="AZ60" s="1048" t="s">
        <v>1215</v>
      </c>
      <c r="BE60" s="1048">
        <v>2058</v>
      </c>
      <c r="BJ60" s="1145" t="s">
        <v>1656</v>
      </c>
      <c r="BL60" s="1145" t="s">
        <v>1656</v>
      </c>
    </row>
    <row r="61" spans="1:64" ht="11.25" customHeight="1">
      <c r="A61" s="1005" t="s">
        <v>1698</v>
      </c>
      <c r="D61" s="1047" t="s">
        <v>1699</v>
      </c>
      <c r="E61" s="1025" t="s">
        <v>1580</v>
      </c>
      <c r="F61" s="1005" t="s">
        <v>1692</v>
      </c>
      <c r="AX61" s="1048" t="s">
        <v>1700</v>
      </c>
      <c r="AZ61" s="1048" t="s">
        <v>1243</v>
      </c>
      <c r="BE61" s="1048">
        <v>2059</v>
      </c>
      <c r="BL61" s="1145" t="s">
        <v>1039</v>
      </c>
    </row>
    <row r="62" spans="1:64" ht="11.25" customHeight="1">
      <c r="A62" s="1005" t="s">
        <v>1701</v>
      </c>
      <c r="D62" s="1047" t="s">
        <v>130</v>
      </c>
      <c r="E62" s="1025">
        <v>30</v>
      </c>
      <c r="F62" s="1005" t="s">
        <v>1692</v>
      </c>
      <c r="AZ62" s="1048" t="s">
        <v>1278</v>
      </c>
      <c r="BE62" s="1048">
        <v>2060</v>
      </c>
      <c r="BL62" s="1145" t="s">
        <v>1041</v>
      </c>
    </row>
    <row r="63" spans="1:64" ht="11.25" customHeight="1">
      <c r="A63" s="1005" t="s">
        <v>1702</v>
      </c>
      <c r="D63" s="1047" t="s">
        <v>1703</v>
      </c>
      <c r="E63" s="1025">
        <v>30</v>
      </c>
      <c r="F63" s="1005" t="s">
        <v>1692</v>
      </c>
      <c r="AZ63" s="1048" t="s">
        <v>1310</v>
      </c>
      <c r="BE63" s="1048">
        <v>2061</v>
      </c>
    </row>
    <row r="64" spans="1:64" ht="11.25" customHeight="1">
      <c r="A64" s="1005" t="s">
        <v>1704</v>
      </c>
      <c r="D64" s="1047" t="s">
        <v>1705</v>
      </c>
      <c r="E64" s="1025">
        <v>30</v>
      </c>
      <c r="F64" s="1005" t="s">
        <v>1692</v>
      </c>
      <c r="AZ64" s="1048" t="s">
        <v>1333</v>
      </c>
      <c r="BE64" s="1048">
        <v>2062</v>
      </c>
    </row>
    <row r="65" spans="1:66" ht="11.25" customHeight="1">
      <c r="A65" s="1005" t="s">
        <v>1706</v>
      </c>
      <c r="D65" s="1005"/>
      <c r="BE65" s="1048">
        <v>2063</v>
      </c>
    </row>
    <row r="66" spans="1:66" ht="11.25" customHeight="1">
      <c r="A66" s="1005" t="s">
        <v>1707</v>
      </c>
      <c r="AZ66" s="998" t="s">
        <v>1708</v>
      </c>
      <c r="BE66" s="1048">
        <v>2064</v>
      </c>
    </row>
    <row r="67" spans="1:66" ht="11.25" customHeight="1">
      <c r="A67" s="1005" t="s">
        <v>1709</v>
      </c>
      <c r="AZ67" s="1048" t="s">
        <v>1216</v>
      </c>
      <c r="BE67" s="1048">
        <v>2065</v>
      </c>
    </row>
    <row r="68" spans="1:66" ht="11.25" customHeight="1">
      <c r="A68" s="1005" t="s">
        <v>1710</v>
      </c>
      <c r="AZ68" s="1048" t="s">
        <v>1244</v>
      </c>
      <c r="BE68" s="1048">
        <v>2066</v>
      </c>
      <c r="BH68" s="998" t="s">
        <v>1711</v>
      </c>
      <c r="BJ68" s="998" t="s">
        <v>1712</v>
      </c>
      <c r="BL68" s="998" t="s">
        <v>1713</v>
      </c>
      <c r="BN68" s="998" t="s">
        <v>1714</v>
      </c>
    </row>
    <row r="69" spans="1:66" ht="11.25" customHeight="1">
      <c r="A69" s="1005" t="s">
        <v>1715</v>
      </c>
      <c r="AZ69" s="1048" t="s">
        <v>1279</v>
      </c>
      <c r="BE69" s="1048">
        <v>2067</v>
      </c>
      <c r="BH69" s="999" t="s">
        <v>1716</v>
      </c>
      <c r="BI69" s="1046" t="s">
        <v>108</v>
      </c>
      <c r="BJ69" s="999" t="s">
        <v>1717</v>
      </c>
      <c r="BK69" s="1046" t="s">
        <v>108</v>
      </c>
      <c r="BL69" s="999" t="s">
        <v>1718</v>
      </c>
      <c r="BM69" s="1001" t="s">
        <v>108</v>
      </c>
      <c r="BN69" s="999" t="s">
        <v>1719</v>
      </c>
    </row>
    <row r="70" spans="1:66" ht="11.25" customHeight="1">
      <c r="A70" s="1005" t="s">
        <v>1720</v>
      </c>
      <c r="AZ70" s="1048" t="s">
        <v>1311</v>
      </c>
      <c r="BE70" s="1048">
        <v>2068</v>
      </c>
      <c r="BH70" s="999" t="s">
        <v>1721</v>
      </c>
      <c r="BJ70" s="999" t="s">
        <v>1722</v>
      </c>
      <c r="BL70" s="999" t="s">
        <v>1723</v>
      </c>
      <c r="BN70" s="999" t="s">
        <v>1724</v>
      </c>
    </row>
    <row r="71" spans="1:66" ht="11.25" customHeight="1">
      <c r="A71" s="1005" t="s">
        <v>1725</v>
      </c>
      <c r="AZ71" s="1048" t="s">
        <v>1313</v>
      </c>
      <c r="BE71" s="1048">
        <v>2069</v>
      </c>
      <c r="BH71" s="999" t="s">
        <v>1726</v>
      </c>
      <c r="BI71" s="1046" t="s">
        <v>89</v>
      </c>
      <c r="BJ71" s="999" t="s">
        <v>1727</v>
      </c>
      <c r="BK71" s="1046" t="s">
        <v>89</v>
      </c>
      <c r="BL71" s="999" t="s">
        <v>1728</v>
      </c>
      <c r="BM71" s="1001" t="s">
        <v>89</v>
      </c>
      <c r="BN71" s="999" t="s">
        <v>1729</v>
      </c>
    </row>
    <row r="72" spans="1:66" ht="11.25" customHeight="1">
      <c r="A72" s="1005" t="s">
        <v>1730</v>
      </c>
      <c r="AZ72" s="1048" t="s">
        <v>19</v>
      </c>
      <c r="BE72" s="1048">
        <v>2070</v>
      </c>
      <c r="BH72" s="999" t="s">
        <v>1731</v>
      </c>
      <c r="BJ72" s="999" t="s">
        <v>1731</v>
      </c>
      <c r="BL72" s="999" t="s">
        <v>1731</v>
      </c>
      <c r="BN72" s="999" t="s">
        <v>1732</v>
      </c>
    </row>
    <row r="73" spans="1:66" ht="11.25" customHeight="1">
      <c r="A73" s="1005" t="s">
        <v>1733</v>
      </c>
      <c r="BH73" s="999" t="s">
        <v>1734</v>
      </c>
      <c r="BI73" s="1046" t="s">
        <v>110</v>
      </c>
      <c r="BJ73" s="999" t="s">
        <v>1735</v>
      </c>
      <c r="BK73" s="1046" t="s">
        <v>110</v>
      </c>
      <c r="BL73" s="999" t="s">
        <v>1736</v>
      </c>
      <c r="BM73" s="1001" t="s">
        <v>110</v>
      </c>
      <c r="BN73" s="999" t="s">
        <v>1737</v>
      </c>
    </row>
    <row r="74" spans="1:66" ht="11.25" customHeight="1">
      <c r="A74" s="1005" t="s">
        <v>1738</v>
      </c>
      <c r="BH74" s="999" t="s">
        <v>1739</v>
      </c>
      <c r="BJ74" s="999" t="s">
        <v>1740</v>
      </c>
      <c r="BL74" s="999" t="s">
        <v>1741</v>
      </c>
      <c r="BN74" s="999" t="s">
        <v>1742</v>
      </c>
    </row>
    <row r="75" spans="1:66" ht="11.25" customHeight="1">
      <c r="A75" s="1005" t="s">
        <v>1743</v>
      </c>
      <c r="AZ75" s="998" t="s">
        <v>1744</v>
      </c>
      <c r="BH75" s="999" t="s">
        <v>1745</v>
      </c>
      <c r="BJ75" s="999" t="s">
        <v>1745</v>
      </c>
      <c r="BL75" s="999" t="s">
        <v>1745</v>
      </c>
    </row>
    <row r="76" spans="1:66" ht="11.25" customHeight="1">
      <c r="A76" s="1005" t="s">
        <v>1746</v>
      </c>
      <c r="AZ76" s="1048" t="s">
        <v>1225</v>
      </c>
      <c r="BH76" s="999" t="s">
        <v>1747</v>
      </c>
      <c r="BJ76" s="999" t="s">
        <v>1748</v>
      </c>
      <c r="BL76" s="999" t="s">
        <v>1749</v>
      </c>
    </row>
    <row r="77" spans="1:66" ht="11.25" customHeight="1">
      <c r="A77" s="1005" t="s">
        <v>1750</v>
      </c>
      <c r="AZ77" s="1048" t="s">
        <v>1254</v>
      </c>
    </row>
    <row r="78" spans="1:66" ht="11.25" customHeight="1">
      <c r="A78" s="1005" t="s">
        <v>1751</v>
      </c>
      <c r="AZ78" s="1048" t="s">
        <v>1286</v>
      </c>
    </row>
    <row r="79" spans="1:66" ht="11.25" customHeight="1">
      <c r="A79" s="1005" t="s">
        <v>1752</v>
      </c>
      <c r="AZ79" s="1048" t="s">
        <v>1317</v>
      </c>
      <c r="BH79" s="998" t="s">
        <v>1753</v>
      </c>
      <c r="BJ79" s="998" t="s">
        <v>1754</v>
      </c>
      <c r="BL79" s="998" t="s">
        <v>1755</v>
      </c>
    </row>
    <row r="80" spans="1:66" ht="11.25" customHeight="1">
      <c r="A80" s="1005" t="s">
        <v>1756</v>
      </c>
      <c r="AZ80" s="1048" t="s">
        <v>1338</v>
      </c>
      <c r="BH80" s="999" t="s">
        <v>1757</v>
      </c>
      <c r="BJ80" s="999" t="s">
        <v>1758</v>
      </c>
      <c r="BL80" s="999" t="s">
        <v>1759</v>
      </c>
    </row>
    <row r="81" spans="1:66" ht="11.25" customHeight="1">
      <c r="A81" s="1005" t="s">
        <v>1760</v>
      </c>
      <c r="AZ81" s="1048" t="s">
        <v>1355</v>
      </c>
      <c r="BH81" s="999" t="s">
        <v>1761</v>
      </c>
      <c r="BJ81" s="999" t="s">
        <v>1762</v>
      </c>
      <c r="BL81" s="999" t="s">
        <v>1763</v>
      </c>
    </row>
    <row r="82" spans="1:66" ht="11.25" customHeight="1">
      <c r="A82" s="1005" t="s">
        <v>1764</v>
      </c>
      <c r="AZ82" s="1048" t="s">
        <v>1370</v>
      </c>
      <c r="BH82" s="999" t="s">
        <v>1765</v>
      </c>
      <c r="BJ82" s="999" t="s">
        <v>1766</v>
      </c>
      <c r="BL82" s="999" t="s">
        <v>1767</v>
      </c>
    </row>
    <row r="83" spans="1:66" ht="11.25" customHeight="1">
      <c r="A83" s="1005" t="s">
        <v>1768</v>
      </c>
      <c r="BH83" s="999" t="s">
        <v>1769</v>
      </c>
      <c r="BJ83" s="999" t="s">
        <v>1770</v>
      </c>
      <c r="BL83" s="999" t="s">
        <v>1771</v>
      </c>
    </row>
    <row r="84" spans="1:66" ht="11.25" customHeight="1">
      <c r="A84" s="1005" t="s">
        <v>1772</v>
      </c>
      <c r="AZ84" s="998" t="s">
        <v>1773</v>
      </c>
    </row>
    <row r="85" spans="1:66" ht="11.25" customHeight="1">
      <c r="A85" s="1796" t="s">
        <v>1774</v>
      </c>
      <c r="AZ85" s="1048" t="s">
        <v>1775</v>
      </c>
    </row>
    <row r="86" spans="1:66" ht="11.25" customHeight="1">
      <c r="A86" s="1005" t="s">
        <v>1776</v>
      </c>
      <c r="AZ86" s="1048" t="s">
        <v>1777</v>
      </c>
      <c r="BH86" s="998" t="s">
        <v>1778</v>
      </c>
      <c r="BJ86" s="998" t="s">
        <v>1779</v>
      </c>
      <c r="BL86" s="998" t="s">
        <v>1780</v>
      </c>
    </row>
    <row r="87" spans="1:66" ht="11.25" customHeight="1">
      <c r="A87" s="1005" t="s">
        <v>1781</v>
      </c>
      <c r="AZ87" s="1048" t="s">
        <v>1782</v>
      </c>
      <c r="BH87" s="999" t="s">
        <v>1783</v>
      </c>
      <c r="BJ87" s="999" t="s">
        <v>1784</v>
      </c>
      <c r="BL87" s="999" t="s">
        <v>1785</v>
      </c>
    </row>
    <row r="88" spans="1:66" ht="11.25" customHeight="1">
      <c r="A88" s="1005" t="s">
        <v>1786</v>
      </c>
      <c r="AZ88" s="1534"/>
      <c r="BH88" s="999" t="s">
        <v>1787</v>
      </c>
      <c r="BJ88" s="999" t="s">
        <v>1788</v>
      </c>
      <c r="BL88" s="999" t="s">
        <v>1789</v>
      </c>
    </row>
    <row r="89" spans="1:66" ht="11.25" customHeight="1">
      <c r="A89" s="1005" t="s">
        <v>1790</v>
      </c>
      <c r="AZ89" s="998" t="s">
        <v>1791</v>
      </c>
    </row>
    <row r="90" spans="1:66" ht="11.25" customHeight="1">
      <c r="A90" s="1005" t="s">
        <v>1792</v>
      </c>
      <c r="AZ90" s="1048" t="s">
        <v>1017</v>
      </c>
    </row>
    <row r="91" spans="1:66" ht="11.25" customHeight="1">
      <c r="A91" s="1005" t="s">
        <v>1793</v>
      </c>
      <c r="AZ91" s="1048" t="s">
        <v>1053</v>
      </c>
      <c r="BH91" s="998" t="s">
        <v>1794</v>
      </c>
      <c r="BJ91" s="998" t="s">
        <v>1795</v>
      </c>
      <c r="BL91" s="998" t="s">
        <v>1796</v>
      </c>
    </row>
    <row r="92" spans="1:66" ht="11.25" customHeight="1">
      <c r="AZ92" s="1048" t="s">
        <v>1797</v>
      </c>
      <c r="BH92" s="999" t="s">
        <v>1798</v>
      </c>
      <c r="BJ92" s="999" t="s">
        <v>1799</v>
      </c>
      <c r="BL92" s="999" t="s">
        <v>1800</v>
      </c>
    </row>
    <row r="93" spans="1:66" ht="11.25" customHeight="1">
      <c r="AZ93" s="1048" t="s">
        <v>1801</v>
      </c>
      <c r="BH93" s="999" t="s">
        <v>1802</v>
      </c>
      <c r="BJ93" s="999" t="s">
        <v>1803</v>
      </c>
      <c r="BL93" s="999" t="s">
        <v>1804</v>
      </c>
    </row>
    <row r="94" spans="1:66" ht="11.25" customHeight="1">
      <c r="AZ94" s="1048" t="s">
        <v>1805</v>
      </c>
    </row>
    <row r="96" spans="1:66" ht="11.25" customHeight="1">
      <c r="AZ96" s="998" t="s">
        <v>1806</v>
      </c>
      <c r="BH96" s="998" t="s">
        <v>1807</v>
      </c>
      <c r="BJ96" s="998" t="s">
        <v>1808</v>
      </c>
      <c r="BL96" s="998" t="s">
        <v>1809</v>
      </c>
      <c r="BN96" s="998" t="s">
        <v>1810</v>
      </c>
    </row>
    <row r="97" spans="52:66" ht="11.25" customHeight="1">
      <c r="AZ97" s="1827" t="s">
        <v>1811</v>
      </c>
      <c r="BA97" s="1828" t="s">
        <v>1812</v>
      </c>
      <c r="BH97" s="999" t="s">
        <v>1813</v>
      </c>
      <c r="BJ97" s="999" t="s">
        <v>1814</v>
      </c>
      <c r="BL97" s="999" t="s">
        <v>1815</v>
      </c>
      <c r="BN97" s="999" t="s">
        <v>1816</v>
      </c>
    </row>
    <row r="98" spans="52:66" ht="11.25" customHeight="1">
      <c r="AZ98" s="1827" t="s">
        <v>1817</v>
      </c>
      <c r="BA98" s="1828" t="s">
        <v>1818</v>
      </c>
      <c r="BH98" s="999" t="s">
        <v>1819</v>
      </c>
      <c r="BJ98" s="999" t="s">
        <v>1820</v>
      </c>
      <c r="BL98" s="999" t="s">
        <v>1821</v>
      </c>
      <c r="BN98" s="999" t="s">
        <v>1822</v>
      </c>
    </row>
    <row r="99" spans="52:66" ht="22.5" customHeight="1">
      <c r="AZ99" s="1827" t="s">
        <v>1823</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1824</v>
      </c>
      <c r="BJ99" s="999" t="s">
        <v>1825</v>
      </c>
      <c r="BL99" s="999" t="s">
        <v>1826</v>
      </c>
      <c r="BN99" s="999" t="s">
        <v>1827</v>
      </c>
    </row>
    <row r="100" spans="52:66" ht="22.5" customHeight="1">
      <c r="AZ100" s="1827" t="s">
        <v>1828</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1416</v>
      </c>
      <c r="BL100" s="999" t="s">
        <v>1416</v>
      </c>
      <c r="BN100" s="999" t="s">
        <v>1829</v>
      </c>
    </row>
    <row r="101" spans="52:66" ht="22.5" customHeight="1">
      <c r="AZ101" s="1827" t="s">
        <v>1830</v>
      </c>
      <c r="BA101" s="1828" t="s">
        <v>1831</v>
      </c>
      <c r="BN101" s="999" t="s">
        <v>1832</v>
      </c>
    </row>
    <row r="102" spans="52:66" ht="22.5" customHeight="1">
      <c r="AZ102" s="1827" t="s">
        <v>1833</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1834</v>
      </c>
    </row>
    <row r="103" spans="52:66" ht="11.25" customHeight="1">
      <c r="AZ103" s="1827" t="s">
        <v>1835</v>
      </c>
      <c r="BA103" s="1828" t="s">
        <v>1836</v>
      </c>
      <c r="BN103" s="999" t="s">
        <v>1837</v>
      </c>
    </row>
    <row r="104" spans="52:66" ht="11.25" customHeight="1">
      <c r="BN104" s="999" t="s">
        <v>1838</v>
      </c>
    </row>
    <row r="105" spans="52:66" ht="11.25" customHeight="1">
      <c r="AZ105" s="1620" t="s">
        <v>1839</v>
      </c>
    </row>
    <row r="106" spans="52:66" ht="11.25" customHeight="1">
      <c r="AZ106" s="1048" t="s">
        <v>1840</v>
      </c>
    </row>
    <row r="107" spans="52:66" ht="11.25" customHeight="1">
      <c r="AZ107" s="1048" t="s">
        <v>1841</v>
      </c>
      <c r="BH107" s="998" t="s">
        <v>1842</v>
      </c>
      <c r="BJ107" s="998" t="s">
        <v>1843</v>
      </c>
      <c r="BL107" s="998" t="s">
        <v>1844</v>
      </c>
      <c r="BN107" s="998" t="s">
        <v>1845</v>
      </c>
    </row>
    <row r="108" spans="52:66" ht="11.25" customHeight="1">
      <c r="AZ108" s="1048" t="s">
        <v>569</v>
      </c>
      <c r="BH108" s="999" t="s">
        <v>1846</v>
      </c>
      <c r="BJ108" s="999" t="s">
        <v>1847</v>
      </c>
      <c r="BL108" s="999" t="s">
        <v>1502</v>
      </c>
      <c r="BN108" s="999" t="s">
        <v>1848</v>
      </c>
    </row>
    <row r="109" spans="52:66" ht="11.25" customHeight="1">
      <c r="BH109" s="999" t="s">
        <v>1849</v>
      </c>
    </row>
    <row r="110" spans="52:66" ht="11.25" customHeight="1">
      <c r="AZ110" s="1620" t="s">
        <v>1850</v>
      </c>
      <c r="BH110" s="999" t="s">
        <v>1849</v>
      </c>
    </row>
    <row r="111" spans="52:66" ht="11.25" customHeight="1">
      <c r="AZ111" s="1827" t="s">
        <v>1811</v>
      </c>
      <c r="BA111" s="1828" t="s">
        <v>1812</v>
      </c>
    </row>
    <row r="112" spans="52:66" ht="11.25" customHeight="1">
      <c r="AZ112" s="1827" t="s">
        <v>1817</v>
      </c>
      <c r="BA112" s="1828" t="s">
        <v>1818</v>
      </c>
    </row>
    <row r="113" spans="52:60" ht="22.5" customHeight="1">
      <c r="AZ113" s="1827" t="s">
        <v>1823</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1828</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1851</v>
      </c>
    </row>
    <row r="115" spans="52:60" ht="22.5" customHeight="1">
      <c r="AZ115" s="1827" t="s">
        <v>1833</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1212</v>
      </c>
    </row>
    <row r="116" spans="52:60" ht="11.25" customHeight="1">
      <c r="AZ116" s="1827" t="s">
        <v>1835</v>
      </c>
      <c r="BA116" s="1828" t="s">
        <v>1836</v>
      </c>
      <c r="BH116" s="999" t="s">
        <v>1240</v>
      </c>
    </row>
    <row r="117" spans="52:60" ht="11.25" customHeight="1">
      <c r="BH117" s="999" t="s">
        <v>1275</v>
      </c>
    </row>
    <row r="118" spans="52:60" ht="11.25" customHeight="1">
      <c r="BH118" s="999" t="s">
        <v>1308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297</v>
      </c>
      <c r="J1" s="393" t="s">
        <v>14</v>
      </c>
    </row>
    <row r="2" spans="1:10" ht="22.5" hidden="1" customHeight="1">
      <c r="A2" s="440"/>
      <c r="B2" s="440"/>
      <c r="C2" s="1657" t="s">
        <v>687</v>
      </c>
      <c r="D2" s="1448"/>
      <c r="E2" s="1454"/>
      <c r="F2" s="1477"/>
      <c r="H2" s="413"/>
      <c r="J2" s="393">
        <v>0</v>
      </c>
    </row>
    <row r="3" spans="1:10" ht="11.25" hidden="1" customHeight="1">
      <c r="J3" s="393">
        <v>0</v>
      </c>
    </row>
    <row r="4" spans="1:10" ht="11.45" customHeight="1">
      <c r="A4" s="1478"/>
      <c r="B4" s="1478"/>
      <c r="J4" s="393">
        <v>11</v>
      </c>
    </row>
    <row r="5" spans="1:10" ht="27.4" customHeight="1">
      <c r="D5" s="205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60"/>
      <c r="F5" s="2061"/>
      <c r="I5" s="653"/>
      <c r="J5" s="393">
        <v>26</v>
      </c>
    </row>
    <row r="6" spans="1:10" ht="18" customHeight="1">
      <c r="D6" s="2147" t="str">
        <f>IF(region_name=0,"Не определено",region_name)</f>
        <v>Нижегородская область</v>
      </c>
      <c r="E6" s="2147"/>
      <c r="F6" s="2147"/>
      <c r="I6" s="653"/>
      <c r="J6" s="393">
        <v>17</v>
      </c>
    </row>
    <row r="7" spans="1:10" s="415" customFormat="1" ht="11.45" customHeight="1">
      <c r="A7" s="439"/>
      <c r="B7" s="439"/>
      <c r="D7" s="652"/>
      <c r="E7" s="652"/>
      <c r="F7" s="690"/>
      <c r="G7" s="652"/>
      <c r="J7" s="415">
        <v>11</v>
      </c>
    </row>
    <row r="8" spans="1:10" ht="11.25" hidden="1" customHeight="1">
      <c r="A8" s="440"/>
      <c r="B8" s="440"/>
      <c r="C8" s="395"/>
      <c r="D8" s="401"/>
      <c r="E8" s="2153"/>
      <c r="F8" s="2153"/>
      <c r="J8" s="393">
        <v>0</v>
      </c>
    </row>
    <row r="9" spans="1:10" ht="11.45" customHeight="1">
      <c r="A9" s="440"/>
      <c r="B9" s="440"/>
      <c r="C9" s="395"/>
      <c r="D9" s="2150" t="s">
        <v>298</v>
      </c>
      <c r="E9" s="2151"/>
      <c r="F9" s="2151"/>
      <c r="G9" s="2154" t="s">
        <v>299</v>
      </c>
      <c r="J9" s="393">
        <v>11</v>
      </c>
    </row>
    <row r="10" spans="1:10" ht="11.45" customHeight="1">
      <c r="A10" s="440"/>
      <c r="B10" s="440"/>
      <c r="C10" s="395"/>
      <c r="D10" s="1402" t="s">
        <v>87</v>
      </c>
      <c r="E10" s="1404" t="s">
        <v>300</v>
      </c>
      <c r="F10" s="1404" t="s">
        <v>301</v>
      </c>
      <c r="G10" s="2155"/>
      <c r="J10" s="393">
        <v>11</v>
      </c>
    </row>
    <row r="11" spans="1:10" ht="1.1499999999999999"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899999999999999" customHeight="1">
      <c r="A13" s="440"/>
      <c r="B13" s="440"/>
      <c r="C13" s="395"/>
      <c r="D13" s="1448">
        <v>2</v>
      </c>
      <c r="E13" s="1455" t="s">
        <v>1852</v>
      </c>
      <c r="F13" s="1449" t="s">
        <v>304</v>
      </c>
      <c r="G13" s="412"/>
      <c r="H13" s="1461"/>
      <c r="J13" s="393">
        <v>19</v>
      </c>
    </row>
    <row r="14" spans="1:10" ht="19.899999999999999" customHeight="1">
      <c r="A14" s="440"/>
      <c r="B14" s="440"/>
      <c r="C14" s="395"/>
      <c r="D14" s="1451" t="s">
        <v>707</v>
      </c>
      <c r="E14" s="1452" t="s">
        <v>1853</v>
      </c>
      <c r="F14" s="1454"/>
      <c r="G14" s="1453" t="s">
        <v>1854</v>
      </c>
      <c r="H14" s="1461"/>
      <c r="J14" s="393">
        <v>19</v>
      </c>
    </row>
    <row r="15" spans="1:10" ht="19.899999999999999" customHeight="1">
      <c r="A15" s="440"/>
      <c r="B15" s="440"/>
      <c r="C15" s="395"/>
      <c r="D15" s="1451" t="s">
        <v>305</v>
      </c>
      <c r="E15" s="1452" t="s">
        <v>1855</v>
      </c>
      <c r="F15" s="1454"/>
      <c r="G15" s="1453" t="s">
        <v>1856</v>
      </c>
      <c r="H15" s="1461"/>
      <c r="J15" s="393">
        <v>19</v>
      </c>
    </row>
    <row r="16" spans="1:10" ht="24" customHeight="1">
      <c r="A16" s="440"/>
      <c r="B16" s="440"/>
      <c r="C16" s="395"/>
      <c r="D16" s="1451" t="s">
        <v>308</v>
      </c>
      <c r="E16" s="1450" t="s">
        <v>1857</v>
      </c>
      <c r="F16" s="1459"/>
      <c r="G16" s="412" t="s">
        <v>1858</v>
      </c>
      <c r="H16" s="1461"/>
      <c r="J16" s="393">
        <v>23</v>
      </c>
    </row>
    <row r="17" spans="1:10" ht="48.2" customHeight="1">
      <c r="A17" s="440"/>
      <c r="B17" s="440"/>
      <c r="C17" s="395"/>
      <c r="D17" s="1448">
        <v>3</v>
      </c>
      <c r="E17" s="1455" t="s">
        <v>1859</v>
      </c>
      <c r="F17" s="1454"/>
      <c r="G17" s="412" t="s">
        <v>1860</v>
      </c>
      <c r="H17" s="1461"/>
      <c r="J17" s="393">
        <v>46</v>
      </c>
    </row>
    <row r="18" spans="1:10" ht="48.2" customHeight="1">
      <c r="A18" s="1403">
        <v>1</v>
      </c>
      <c r="B18" s="440"/>
      <c r="C18" s="1405"/>
      <c r="D18" s="1448" t="s">
        <v>90</v>
      </c>
      <c r="E18" s="1455" t="s">
        <v>1861</v>
      </c>
      <c r="F18" s="1454"/>
      <c r="G18" s="412" t="s">
        <v>1860</v>
      </c>
      <c r="H18" s="1461"/>
      <c r="I18" s="784"/>
      <c r="J18" s="393">
        <v>46</v>
      </c>
    </row>
    <row r="19" spans="1:10" ht="23.25" customHeight="1">
      <c r="A19" s="440"/>
      <c r="B19" s="440"/>
      <c r="C19" s="395"/>
      <c r="D19" s="1448" t="s">
        <v>110</v>
      </c>
      <c r="E19" s="1455" t="s">
        <v>1862</v>
      </c>
      <c r="F19" s="1449" t="s">
        <v>304</v>
      </c>
      <c r="G19" s="2356" t="s">
        <v>1863</v>
      </c>
      <c r="H19" s="413"/>
      <c r="J19" s="393">
        <v>22</v>
      </c>
    </row>
    <row r="20" spans="1:10" s="1458" customFormat="1" ht="5.25" hidden="1" customHeight="1">
      <c r="A20" s="440"/>
      <c r="B20" s="440"/>
      <c r="C20" s="1457"/>
      <c r="D20" s="1456" t="s">
        <v>1114</v>
      </c>
      <c r="E20" s="945"/>
      <c r="F20" s="944"/>
      <c r="G20" s="2357"/>
      <c r="J20" s="1458">
        <v>0</v>
      </c>
    </row>
    <row r="21" spans="1:10" ht="15.75" customHeight="1">
      <c r="A21" s="440"/>
      <c r="B21" s="440"/>
      <c r="C21" s="395"/>
      <c r="D21" s="405"/>
      <c r="E21" s="353" t="s">
        <v>337</v>
      </c>
      <c r="F21" s="407"/>
      <c r="G21" s="2358"/>
      <c r="H21" s="1461"/>
      <c r="J21" s="393">
        <v>15</v>
      </c>
    </row>
    <row r="22" spans="1:10" s="439" customFormat="1" ht="26.25" customHeight="1">
      <c r="A22" s="440"/>
      <c r="B22" s="440"/>
      <c r="C22" s="440"/>
      <c r="D22" s="1448" t="s">
        <v>91</v>
      </c>
      <c r="E22" s="412" t="s">
        <v>1864</v>
      </c>
      <c r="F22" s="1454"/>
      <c r="G22" s="412" t="s">
        <v>1865</v>
      </c>
      <c r="H22" s="1460"/>
      <c r="J22" s="439">
        <v>25</v>
      </c>
    </row>
    <row r="23" spans="1:10" s="439" customFormat="1" ht="19.899999999999999" customHeight="1">
      <c r="A23" s="440"/>
      <c r="B23" s="440"/>
      <c r="C23" s="440"/>
      <c r="D23" s="1448" t="s">
        <v>92</v>
      </c>
      <c r="E23" s="1455" t="s">
        <v>1866</v>
      </c>
      <c r="F23" s="1459"/>
      <c r="G23" s="412" t="s">
        <v>1867</v>
      </c>
      <c r="H23" s="1460"/>
      <c r="J23" s="439">
        <v>19</v>
      </c>
    </row>
    <row r="24" spans="1:10" s="439" customFormat="1" ht="144" hidden="1" customHeight="1">
      <c r="A24" s="440"/>
      <c r="B24" s="440"/>
      <c r="C24" s="440"/>
      <c r="D24" s="1448"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81</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40625" style="1563" hidden="1"/>
  </cols>
  <sheetData>
    <row r="1" spans="1:255" ht="22.5" hidden="1" customHeight="1">
      <c r="F1" s="1559" t="s">
        <v>1868</v>
      </c>
      <c r="G1" s="1559" t="s">
        <v>48</v>
      </c>
      <c r="H1" s="1559" t="s">
        <v>50</v>
      </c>
      <c r="IU1" s="1083" t="s">
        <v>14</v>
      </c>
    </row>
    <row r="2" spans="1:255" s="1776" customFormat="1" ht="22.5" hidden="1" customHeight="1">
      <c r="A2" s="763"/>
      <c r="B2" s="1088">
        <v>1</v>
      </c>
      <c r="C2" s="1088"/>
      <c r="D2" s="1851" t="s">
        <v>687</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1500000000000004" customHeight="1">
      <c r="A3" s="434"/>
      <c r="D3" s="432"/>
      <c r="F3" s="185" t="s">
        <v>82</v>
      </c>
      <c r="G3" s="432" t="s">
        <v>83</v>
      </c>
      <c r="H3" s="432"/>
      <c r="I3" s="432"/>
      <c r="J3" s="165" t="s">
        <v>84</v>
      </c>
      <c r="K3" s="185" t="s">
        <v>82</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65"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4" customHeight="1">
      <c r="A5" s="1083"/>
      <c r="B5" s="1088"/>
      <c r="C5" s="1083"/>
      <c r="D5" s="1423"/>
      <c r="E5" s="205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2"/>
      <c r="G5" s="2052"/>
      <c r="H5" s="2052"/>
      <c r="I5" s="2052"/>
      <c r="J5" s="2052"/>
      <c r="K5" s="185"/>
      <c r="L5" s="438"/>
      <c r="M5" s="438"/>
      <c r="N5" s="438"/>
      <c r="O5" s="164"/>
      <c r="P5" s="438"/>
      <c r="Q5" s="163"/>
      <c r="R5" s="163"/>
      <c r="S5" s="163"/>
      <c r="T5" s="163"/>
      <c r="IU5" s="445">
        <v>26</v>
      </c>
    </row>
    <row r="6" spans="1:255" s="1746" customFormat="1" ht="14.65"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65" customHeight="1">
      <c r="A7" s="1083"/>
      <c r="B7" s="1088"/>
      <c r="C7" s="1083"/>
      <c r="D7" s="1423"/>
      <c r="E7" s="2048" t="s">
        <v>298</v>
      </c>
      <c r="F7" s="2053"/>
      <c r="G7" s="2053"/>
      <c r="H7" s="2053"/>
      <c r="I7" s="2053"/>
      <c r="J7" s="2359" t="s">
        <v>299</v>
      </c>
      <c r="K7" s="438"/>
      <c r="L7" s="438"/>
      <c r="M7" s="438"/>
      <c r="N7" s="438"/>
      <c r="O7" s="164"/>
      <c r="P7" s="438"/>
      <c r="Q7" s="163"/>
      <c r="R7" s="163"/>
      <c r="S7" s="163"/>
      <c r="T7" s="163"/>
      <c r="IU7" s="445">
        <v>14</v>
      </c>
    </row>
    <row r="8" spans="1:255" s="1746" customFormat="1" ht="21" customHeight="1">
      <c r="A8" s="1083"/>
      <c r="B8" s="1088"/>
      <c r="C8" s="1083"/>
      <c r="D8" s="1423"/>
      <c r="E8" s="1476" t="s">
        <v>87</v>
      </c>
      <c r="F8" s="1468" t="s">
        <v>1868</v>
      </c>
      <c r="G8" s="1468" t="s">
        <v>48</v>
      </c>
      <c r="H8" s="1468" t="s">
        <v>50</v>
      </c>
      <c r="I8" s="1468" t="s">
        <v>1869</v>
      </c>
      <c r="J8" s="2360"/>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11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1870</v>
      </c>
      <c r="G10" s="1470"/>
      <c r="H10" s="1470"/>
      <c r="I10" s="1825"/>
      <c r="J10" s="2112"/>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1.9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65"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1499999999999999"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65" customHeight="1">
      <c r="IU16" s="1083">
        <v>14</v>
      </c>
    </row>
    <row r="17" spans="1:255" ht="14.65" customHeight="1">
      <c r="IU17" s="1083">
        <v>14</v>
      </c>
    </row>
    <row r="18" spans="1:255" ht="14.65" customHeight="1">
      <c r="IU18" s="1083">
        <v>14</v>
      </c>
    </row>
    <row r="19" spans="1:255" ht="14.65" customHeight="1">
      <c r="G19" s="311"/>
      <c r="H19" s="311"/>
      <c r="I19" s="311"/>
      <c r="IU19" s="1083">
        <v>14</v>
      </c>
    </row>
    <row r="20" spans="1:255" ht="14.65" customHeight="1">
      <c r="IU20" s="1083">
        <v>14</v>
      </c>
    </row>
    <row r="21" spans="1:255" ht="14.65" customHeight="1">
      <c r="IU21" s="1083">
        <v>14</v>
      </c>
    </row>
    <row r="22" spans="1:255" ht="14.65" customHeight="1">
      <c r="IU22" s="1083">
        <v>14</v>
      </c>
    </row>
    <row r="23" spans="1:255" ht="14.65" customHeight="1">
      <c r="K23" s="1083"/>
      <c r="L23" s="1083"/>
      <c r="M23" s="1083"/>
      <c r="IU23" s="1083">
        <v>14</v>
      </c>
    </row>
    <row r="24" spans="1:255" ht="22.5" hidden="1" customHeight="1">
      <c r="A24" s="1083" t="s">
        <v>81</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083" t="s">
        <v>14</v>
      </c>
    </row>
    <row r="2" spans="1:257" s="1776" customFormat="1" ht="22.5" hidden="1" customHeight="1">
      <c r="A2" s="763"/>
      <c r="B2" s="1088">
        <v>1</v>
      </c>
      <c r="C2" s="1088"/>
      <c r="D2" s="1851" t="s">
        <v>687</v>
      </c>
      <c r="E2" s="1815"/>
      <c r="F2" s="1818" t="str">
        <f>IF(ROIV_INFO_NAME="","",ROIV_INFO_NAME)</f>
        <v>ООО "Профит"</v>
      </c>
      <c r="G2" s="1843" t="s">
        <v>22</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82</v>
      </c>
      <c r="G3" s="1662" t="s">
        <v>83</v>
      </c>
      <c r="H3" s="432"/>
      <c r="I3" s="432"/>
      <c r="J3" s="432"/>
      <c r="K3" s="432"/>
      <c r="L3" s="165" t="s">
        <v>84</v>
      </c>
      <c r="M3" s="185" t="s">
        <v>82</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65"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4" customHeight="1">
      <c r="A5" s="1083"/>
      <c r="B5" s="1088"/>
      <c r="C5" s="1083"/>
      <c r="D5" s="1423"/>
      <c r="E5" s="205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52"/>
      <c r="G5" s="2052"/>
      <c r="H5" s="2052"/>
      <c r="I5" s="2052"/>
      <c r="J5" s="2052"/>
      <c r="K5" s="2052"/>
      <c r="L5" s="526"/>
      <c r="M5" s="185"/>
      <c r="N5" s="438"/>
      <c r="O5" s="438"/>
      <c r="P5" s="438"/>
      <c r="Q5" s="164"/>
      <c r="R5" s="438"/>
      <c r="S5" s="163"/>
      <c r="T5" s="163"/>
      <c r="U5" s="163"/>
      <c r="V5" s="163"/>
      <c r="IW5" s="445">
        <v>26</v>
      </c>
    </row>
    <row r="6" spans="1:257" s="1746" customFormat="1" ht="14.65"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65" customHeight="1">
      <c r="A7" s="1083"/>
      <c r="B7" s="1088"/>
      <c r="C7" s="1083"/>
      <c r="D7" s="1423"/>
      <c r="E7" s="2048" t="s">
        <v>298</v>
      </c>
      <c r="F7" s="2053"/>
      <c r="G7" s="2053"/>
      <c r="H7" s="2053"/>
      <c r="I7" s="2053"/>
      <c r="J7" s="2053"/>
      <c r="K7" s="2053"/>
      <c r="L7" s="2359" t="s">
        <v>299</v>
      </c>
      <c r="M7" s="438"/>
      <c r="N7" s="438"/>
      <c r="O7" s="438"/>
      <c r="P7" s="438"/>
      <c r="Q7" s="164"/>
      <c r="R7" s="438"/>
      <c r="S7" s="163"/>
      <c r="T7" s="163"/>
      <c r="U7" s="163"/>
      <c r="V7" s="163"/>
      <c r="IW7" s="445">
        <v>14</v>
      </c>
    </row>
    <row r="8" spans="1:257" s="1746" customFormat="1" ht="67.150000000000006" customHeight="1">
      <c r="A8" s="1083"/>
      <c r="B8" s="1088"/>
      <c r="C8" s="1083"/>
      <c r="D8" s="1423"/>
      <c r="E8" s="2363" t="s">
        <v>87</v>
      </c>
      <c r="F8" s="236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6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6"/>
      <c r="I8" s="2367"/>
      <c r="J8" s="236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6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1"/>
      <c r="M8" s="438"/>
      <c r="N8" s="438"/>
      <c r="O8" s="438"/>
      <c r="P8" s="438"/>
      <c r="Q8" s="164"/>
      <c r="R8" s="438"/>
      <c r="S8" s="163"/>
      <c r="T8" s="163"/>
      <c r="U8" s="163"/>
      <c r="V8" s="163"/>
      <c r="IW8" s="445">
        <v>64</v>
      </c>
    </row>
    <row r="9" spans="1:257" s="1746" customFormat="1" ht="29.25" customHeight="1">
      <c r="A9" s="1083"/>
      <c r="B9" s="1088"/>
      <c r="C9" s="1083"/>
      <c r="D9" s="1423"/>
      <c r="E9" s="2364"/>
      <c r="F9" s="2364"/>
      <c r="G9" s="1465" t="s">
        <v>1871</v>
      </c>
      <c r="H9" s="1465" t="s">
        <v>1872</v>
      </c>
      <c r="I9" s="1465" t="s">
        <v>1873</v>
      </c>
      <c r="J9" s="2364"/>
      <c r="K9" s="2364"/>
      <c r="L9" s="2360"/>
      <c r="M9" s="438"/>
      <c r="N9" s="438"/>
      <c r="O9" s="438"/>
      <c r="P9" s="438"/>
      <c r="Q9" s="164"/>
      <c r="R9" s="438"/>
      <c r="S9" s="163"/>
      <c r="T9" s="163"/>
      <c r="U9" s="163"/>
      <c r="V9" s="163"/>
      <c r="IW9" s="445">
        <v>28</v>
      </c>
    </row>
    <row r="10" spans="1:257" s="1776" customFormat="1" ht="23.25" customHeight="1">
      <c r="A10" s="2051"/>
      <c r="B10" s="1088">
        <v>1</v>
      </c>
      <c r="C10" s="1088"/>
      <c r="D10" s="732"/>
      <c r="E10" s="730">
        <v>1</v>
      </c>
      <c r="F10" s="1467" t="str">
        <f>IF(ROIV_INFO_NAME="","",ROIV_INFO_NAME)</f>
        <v>ООО "Профит"</v>
      </c>
      <c r="G10" s="1659" t="s">
        <v>22</v>
      </c>
      <c r="H10" s="1842"/>
      <c r="I10" s="1462"/>
      <c r="J10" s="750"/>
      <c r="K10" s="750"/>
      <c r="L10" s="234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051"/>
      <c r="B11" s="1088"/>
      <c r="C11" s="350"/>
      <c r="D11" s="733"/>
      <c r="E11" s="359"/>
      <c r="F11" s="354" t="s">
        <v>1874</v>
      </c>
      <c r="G11" s="125"/>
      <c r="H11" s="125"/>
      <c r="I11" s="125"/>
      <c r="J11" s="125"/>
      <c r="K11" s="362"/>
      <c r="L11" s="2362"/>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1.9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65"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1499999999999999"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81</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559" t="s">
        <v>14</v>
      </c>
    </row>
    <row r="2" spans="1:257" s="1776" customFormat="1" ht="22.5" hidden="1" customHeight="1">
      <c r="A2" s="763"/>
      <c r="B2" s="1294">
        <v>1</v>
      </c>
      <c r="C2" s="1294"/>
      <c r="D2" s="1851" t="s">
        <v>687</v>
      </c>
      <c r="E2" s="1830"/>
      <c r="F2" s="1832" t="str">
        <f>IF(ROIV_INFO_NAME="","",ROIV_INFO_NAME)</f>
        <v>ООО "Профит"</v>
      </c>
      <c r="G2" s="1659" t="s">
        <v>22</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82</v>
      </c>
      <c r="G3" s="1662" t="s">
        <v>83</v>
      </c>
      <c r="H3" s="1819"/>
      <c r="I3" s="1819"/>
      <c r="J3" s="1819"/>
      <c r="K3" s="1819"/>
      <c r="L3" s="165" t="s">
        <v>84</v>
      </c>
      <c r="M3" s="186" t="s">
        <v>82</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65"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4" customHeight="1">
      <c r="A5" s="1559"/>
      <c r="B5" s="1294"/>
      <c r="C5" s="1559"/>
      <c r="D5" s="1443"/>
      <c r="E5" s="205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52"/>
      <c r="G5" s="2052"/>
      <c r="H5" s="2052"/>
      <c r="I5" s="2052"/>
      <c r="J5" s="2052"/>
      <c r="K5" s="2052"/>
      <c r="L5" s="1563"/>
      <c r="M5" s="186"/>
      <c r="N5" s="1552"/>
      <c r="O5" s="1552"/>
      <c r="P5" s="1552"/>
      <c r="Q5" s="1552"/>
      <c r="R5" s="1552"/>
      <c r="S5" s="163"/>
      <c r="T5" s="163"/>
      <c r="U5" s="163"/>
      <c r="V5" s="163"/>
      <c r="IW5" s="1537">
        <v>26</v>
      </c>
    </row>
    <row r="6" spans="1:257" s="1746" customFormat="1" ht="14.65"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65" customHeight="1">
      <c r="A7" s="1559"/>
      <c r="B7" s="1294"/>
      <c r="C7" s="1559"/>
      <c r="D7" s="1443"/>
      <c r="E7" s="2048" t="s">
        <v>298</v>
      </c>
      <c r="F7" s="2053"/>
      <c r="G7" s="2053"/>
      <c r="H7" s="2053"/>
      <c r="I7" s="2053"/>
      <c r="J7" s="2053"/>
      <c r="K7" s="2053"/>
      <c r="L7" s="2359" t="s">
        <v>299</v>
      </c>
      <c r="M7" s="1552"/>
      <c r="N7" s="1552"/>
      <c r="O7" s="1552"/>
      <c r="P7" s="1552"/>
      <c r="Q7" s="1552"/>
      <c r="R7" s="1552"/>
      <c r="S7" s="163"/>
      <c r="T7" s="163"/>
      <c r="U7" s="163"/>
      <c r="V7" s="163"/>
      <c r="IW7" s="1537">
        <v>14</v>
      </c>
    </row>
    <row r="8" spans="1:257" s="1746" customFormat="1" ht="67.150000000000006" customHeight="1">
      <c r="A8" s="1559"/>
      <c r="B8" s="1294"/>
      <c r="C8" s="1559"/>
      <c r="D8" s="1443"/>
      <c r="E8" s="2363" t="s">
        <v>87</v>
      </c>
      <c r="F8" s="2363" t="s">
        <v>1875</v>
      </c>
      <c r="G8" s="2365" t="s">
        <v>1876</v>
      </c>
      <c r="H8" s="2366"/>
      <c r="I8" s="2367"/>
      <c r="J8" s="2363" t="s">
        <v>1877</v>
      </c>
      <c r="K8" s="236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1"/>
      <c r="M8" s="1552"/>
      <c r="N8" s="1552"/>
      <c r="O8" s="1552"/>
      <c r="P8" s="1552"/>
      <c r="Q8" s="1552"/>
      <c r="R8" s="1552"/>
      <c r="S8" s="163"/>
      <c r="T8" s="163"/>
      <c r="U8" s="163"/>
      <c r="V8" s="163"/>
      <c r="IW8" s="1537">
        <v>64</v>
      </c>
    </row>
    <row r="9" spans="1:257" s="1746" customFormat="1" ht="29.25" customHeight="1">
      <c r="A9" s="1559"/>
      <c r="B9" s="1294"/>
      <c r="C9" s="1559"/>
      <c r="D9" s="1443"/>
      <c r="E9" s="2364"/>
      <c r="F9" s="2364"/>
      <c r="G9" s="1820" t="s">
        <v>1871</v>
      </c>
      <c r="H9" s="1820" t="s">
        <v>1872</v>
      </c>
      <c r="I9" s="1820" t="s">
        <v>1873</v>
      </c>
      <c r="J9" s="2364"/>
      <c r="K9" s="2364"/>
      <c r="L9" s="2360"/>
      <c r="M9" s="1552"/>
      <c r="N9" s="1552"/>
      <c r="O9" s="1552"/>
      <c r="P9" s="1552"/>
      <c r="Q9" s="1552"/>
      <c r="R9" s="1552"/>
      <c r="S9" s="163"/>
      <c r="T9" s="163"/>
      <c r="U9" s="163"/>
      <c r="V9" s="163"/>
      <c r="IW9" s="1537">
        <v>28</v>
      </c>
    </row>
    <row r="10" spans="1:257" s="1776" customFormat="1" ht="1.1499999999999999" customHeight="1">
      <c r="A10" s="2051"/>
      <c r="B10" s="1294">
        <v>1</v>
      </c>
      <c r="C10" s="1294"/>
      <c r="D10" s="732"/>
      <c r="E10" s="727">
        <v>0</v>
      </c>
      <c r="F10" s="1817" t="str">
        <f>IF(ROIV_INFO_NAME="","",ROIV_INFO_NAME)</f>
        <v>ООО "Профит"</v>
      </c>
      <c r="G10" s="1660" t="s">
        <v>22</v>
      </c>
      <c r="H10" s="1829"/>
      <c r="I10" s="1829"/>
      <c r="J10" s="457"/>
      <c r="K10" s="457"/>
      <c r="L10" s="234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051"/>
      <c r="B11" s="1294"/>
      <c r="C11" s="350"/>
      <c r="D11" s="733"/>
      <c r="E11" s="359"/>
      <c r="F11" s="589" t="s">
        <v>1874</v>
      </c>
      <c r="G11" s="125"/>
      <c r="H11" s="125"/>
      <c r="I11" s="125"/>
      <c r="J11" s="125"/>
      <c r="K11" s="362"/>
      <c r="L11" s="2362"/>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1.9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65"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1499999999999999"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81</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40625" style="1563" hidden="1"/>
  </cols>
  <sheetData>
    <row r="1" spans="1:17" ht="22.5" hidden="1" customHeight="1">
      <c r="Q1" s="1083" t="s">
        <v>14</v>
      </c>
    </row>
    <row r="2" spans="1:17" s="1776" customFormat="1" ht="22.5" hidden="1" customHeight="1">
      <c r="A2" s="434"/>
      <c r="B2" s="1088">
        <v>1</v>
      </c>
      <c r="C2" s="1088"/>
      <c r="D2" s="1851" t="s">
        <v>687</v>
      </c>
      <c r="E2" s="2066">
        <v>1</v>
      </c>
      <c r="F2" s="2233" t="str">
        <f>IF(region_name="","",region_name)</f>
        <v>Нижегородская область</v>
      </c>
      <c r="G2" s="2376"/>
      <c r="H2" s="2377"/>
      <c r="I2" s="412"/>
      <c r="J2" s="1836">
        <v>1</v>
      </c>
      <c r="K2" s="1838"/>
      <c r="L2" s="1838"/>
      <c r="M2" s="1838"/>
      <c r="N2" s="430"/>
      <c r="O2" s="1463"/>
      <c r="P2" s="449"/>
      <c r="Q2" s="361">
        <v>0</v>
      </c>
    </row>
    <row r="3" spans="1:17" s="1776" customFormat="1" ht="22.5" hidden="1" customHeight="1">
      <c r="A3" s="763"/>
      <c r="B3" s="1088"/>
      <c r="C3" s="1088"/>
      <c r="D3" s="733"/>
      <c r="E3" s="2066"/>
      <c r="F3" s="2233"/>
      <c r="G3" s="2376"/>
      <c r="H3" s="2378"/>
      <c r="I3" s="359"/>
      <c r="J3" s="1428"/>
      <c r="K3" s="1428" t="s">
        <v>1878</v>
      </c>
      <c r="L3" s="1471"/>
      <c r="M3" s="1846"/>
      <c r="N3" s="1839"/>
      <c r="O3" s="1463"/>
      <c r="P3" s="449"/>
      <c r="Q3" s="361">
        <v>0</v>
      </c>
    </row>
    <row r="4" spans="1:17" s="1570" customFormat="1" ht="5.25" hidden="1" customHeight="1">
      <c r="A4" s="434"/>
      <c r="D4" s="432"/>
      <c r="F4" s="185" t="s">
        <v>82</v>
      </c>
      <c r="G4" s="432" t="s">
        <v>83</v>
      </c>
      <c r="H4" s="432"/>
      <c r="I4" s="1849"/>
      <c r="J4" s="1472"/>
      <c r="K4" s="1837"/>
      <c r="L4" s="1837"/>
      <c r="M4" s="1837"/>
      <c r="N4" s="1833"/>
      <c r="O4" s="185" t="s">
        <v>82</v>
      </c>
      <c r="P4" s="185"/>
      <c r="Q4" s="449">
        <v>0</v>
      </c>
    </row>
    <row r="5" spans="1:17" s="1776" customFormat="1" ht="22.5" hidden="1" customHeight="1">
      <c r="A5" s="1569"/>
      <c r="B5" s="1294">
        <v>1</v>
      </c>
      <c r="C5" s="1294"/>
      <c r="D5" s="733"/>
      <c r="E5" s="1839"/>
      <c r="F5" s="1839"/>
      <c r="G5" s="1839"/>
      <c r="H5" s="1850"/>
      <c r="I5" s="1852" t="s">
        <v>687</v>
      </c>
      <c r="J5" s="1848">
        <v>1</v>
      </c>
      <c r="K5" s="1838"/>
      <c r="L5" s="1838"/>
      <c r="M5" s="1838"/>
      <c r="N5" s="430"/>
      <c r="O5" s="1463"/>
      <c r="P5" s="1564"/>
      <c r="Q5" s="562">
        <v>0</v>
      </c>
    </row>
    <row r="6" spans="1:17" s="1746" customFormat="1" ht="14.65" customHeight="1">
      <c r="A6" s="1083"/>
      <c r="B6" s="1088"/>
      <c r="C6" s="1083"/>
      <c r="D6" s="1423"/>
      <c r="E6" s="447"/>
      <c r="F6" s="447"/>
      <c r="G6" s="447"/>
      <c r="H6" s="447"/>
      <c r="I6" s="447"/>
      <c r="J6" s="447"/>
      <c r="K6" s="447"/>
      <c r="L6" s="447"/>
      <c r="M6" s="447"/>
      <c r="N6" s="1563"/>
      <c r="O6" s="185"/>
      <c r="P6" s="438"/>
      <c r="Q6" s="445">
        <v>14</v>
      </c>
    </row>
    <row r="7" spans="1:17" s="1746" customFormat="1" ht="27.4" customHeight="1">
      <c r="A7" s="1083"/>
      <c r="B7" s="1088"/>
      <c r="C7" s="1083"/>
      <c r="D7" s="1423"/>
      <c r="E7" s="237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0"/>
      <c r="G7" s="2370"/>
      <c r="H7" s="2370"/>
      <c r="I7" s="2370"/>
      <c r="J7" s="2370"/>
      <c r="K7" s="2370"/>
      <c r="L7" s="2370"/>
      <c r="M7" s="2370"/>
      <c r="N7" s="1180"/>
      <c r="O7" s="185"/>
      <c r="P7" s="438"/>
      <c r="Q7" s="445">
        <v>26</v>
      </c>
    </row>
    <row r="8" spans="1:17" s="1746" customFormat="1" ht="14.65"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373"/>
      <c r="J9" s="2373"/>
      <c r="K9" s="2373"/>
      <c r="L9" s="1840"/>
      <c r="M9" s="1841"/>
      <c r="O9" s="1473"/>
      <c r="P9" s="1473"/>
      <c r="Q9" s="1474">
        <v>0</v>
      </c>
    </row>
    <row r="10" spans="1:17" s="1746" customFormat="1" ht="14.65" customHeight="1">
      <c r="A10" s="1083"/>
      <c r="B10" s="1088"/>
      <c r="C10" s="1083"/>
      <c r="D10" s="1423"/>
      <c r="E10" s="2066" t="s">
        <v>298</v>
      </c>
      <c r="F10" s="2066"/>
      <c r="G10" s="2066"/>
      <c r="H10" s="2066"/>
      <c r="I10" s="2066"/>
      <c r="J10" s="2066"/>
      <c r="K10" s="2066"/>
      <c r="L10" s="2066"/>
      <c r="M10" s="2048"/>
      <c r="N10" s="2363" t="s">
        <v>299</v>
      </c>
      <c r="O10" s="438"/>
      <c r="P10" s="438"/>
      <c r="Q10" s="445">
        <v>14</v>
      </c>
    </row>
    <row r="11" spans="1:17" s="1746" customFormat="1" ht="44.25" customHeight="1">
      <c r="A11" s="1559"/>
      <c r="B11" s="1294"/>
      <c r="C11" s="1559"/>
      <c r="D11" s="1443"/>
      <c r="E11" s="2372" t="s">
        <v>87</v>
      </c>
      <c r="F11" s="2372" t="s">
        <v>302</v>
      </c>
      <c r="G11" s="2372" t="s">
        <v>1879</v>
      </c>
      <c r="H11" s="2372"/>
      <c r="I11" s="2372" t="s">
        <v>1880</v>
      </c>
      <c r="J11" s="2372"/>
      <c r="K11" s="2372"/>
      <c r="L11" s="2372" t="s">
        <v>1881</v>
      </c>
      <c r="M11" s="2365" t="s">
        <v>1882</v>
      </c>
      <c r="N11" s="2371"/>
      <c r="O11" s="1552"/>
      <c r="P11" s="1552"/>
      <c r="Q11" s="1537">
        <v>42</v>
      </c>
    </row>
    <row r="12" spans="1:17" s="1746" customFormat="1" ht="29.25" customHeight="1">
      <c r="A12" s="1083"/>
      <c r="B12" s="1088"/>
      <c r="C12" s="1083"/>
      <c r="D12" s="1423"/>
      <c r="E12" s="2363"/>
      <c r="F12" s="2372"/>
      <c r="G12" s="1835" t="s">
        <v>1883</v>
      </c>
      <c r="H12" s="1835" t="s">
        <v>306</v>
      </c>
      <c r="I12" s="2372"/>
      <c r="J12" s="2372"/>
      <c r="K12" s="2372"/>
      <c r="L12" s="2372"/>
      <c r="M12" s="2365"/>
      <c r="N12" s="2364"/>
      <c r="O12" s="438"/>
      <c r="P12" s="438"/>
      <c r="Q12" s="445">
        <v>28</v>
      </c>
    </row>
    <row r="13" spans="1:17" s="1776" customFormat="1" ht="23.25" customHeight="1">
      <c r="A13" s="2051">
        <v>26379339</v>
      </c>
      <c r="B13" s="1088">
        <v>1</v>
      </c>
      <c r="C13" s="1088"/>
      <c r="D13" s="733"/>
      <c r="E13" s="2066">
        <v>1</v>
      </c>
      <c r="F13" s="2379" t="str">
        <f>IF(region_name="","",region_name)</f>
        <v>Нижегородская область</v>
      </c>
      <c r="G13" s="2380"/>
      <c r="H13" s="2374"/>
      <c r="I13" s="412"/>
      <c r="J13" s="1831">
        <v>1</v>
      </c>
      <c r="K13" s="1844"/>
      <c r="L13" s="1845"/>
      <c r="M13" s="1845"/>
      <c r="N13" s="2368" t="s">
        <v>1884</v>
      </c>
      <c r="O13" s="1463"/>
      <c r="P13" s="449"/>
      <c r="Q13" s="361">
        <v>22</v>
      </c>
    </row>
    <row r="14" spans="1:17" s="1776" customFormat="1" ht="23.25" customHeight="1">
      <c r="A14" s="2051"/>
      <c r="B14" s="1088"/>
      <c r="C14" s="1088"/>
      <c r="D14" s="733"/>
      <c r="E14" s="2066"/>
      <c r="F14" s="2379"/>
      <c r="G14" s="2380"/>
      <c r="H14" s="2375"/>
      <c r="I14" s="359"/>
      <c r="J14" s="1428"/>
      <c r="K14" s="1428" t="s">
        <v>1878</v>
      </c>
      <c r="L14" s="1471"/>
      <c r="M14" s="1471"/>
      <c r="N14" s="2369"/>
      <c r="O14" s="1463"/>
      <c r="P14" s="449"/>
      <c r="Q14" s="361">
        <v>22</v>
      </c>
    </row>
    <row r="15" spans="1:17" s="1776" customFormat="1" ht="23.25" customHeight="1">
      <c r="A15" s="2051"/>
      <c r="B15" s="1088"/>
      <c r="C15" s="350"/>
      <c r="D15" s="733"/>
      <c r="E15" s="359"/>
      <c r="F15" s="1428" t="s">
        <v>1870</v>
      </c>
      <c r="G15" s="1470"/>
      <c r="H15" s="1470"/>
      <c r="I15" s="125"/>
      <c r="J15" s="125"/>
      <c r="K15" s="125"/>
      <c r="L15" s="125"/>
      <c r="M15" s="125"/>
      <c r="N15" s="2369"/>
      <c r="O15" s="1464"/>
      <c r="P15" s="449"/>
      <c r="Q15" s="361">
        <v>22</v>
      </c>
    </row>
    <row r="16" spans="1:17" s="1746" customFormat="1" ht="21.95" customHeight="1">
      <c r="A16" s="1083"/>
      <c r="B16" s="1088"/>
      <c r="C16" s="1083"/>
      <c r="D16" s="389"/>
      <c r="E16" s="118"/>
      <c r="F16" s="118"/>
      <c r="G16" s="118"/>
      <c r="H16" s="118"/>
      <c r="I16" s="118"/>
      <c r="J16" s="118"/>
      <c r="K16" s="118"/>
      <c r="L16" s="118"/>
      <c r="M16" s="447"/>
      <c r="N16" s="1563"/>
      <c r="O16" s="438"/>
      <c r="P16" s="438"/>
      <c r="Q16" s="445">
        <v>21</v>
      </c>
    </row>
    <row r="17" spans="1:17" s="1746" customFormat="1" ht="14.65"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1499999999999999"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81</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6" hidden="1"/>
    <col min="2" max="2" width="9.1406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052" t="s">
        <v>1885</v>
      </c>
      <c r="E5" s="2052"/>
      <c r="F5" s="2052"/>
      <c r="G5" s="2052"/>
      <c r="H5" s="2052"/>
      <c r="I5" s="203"/>
      <c r="M5" s="23">
        <v>30</v>
      </c>
    </row>
    <row r="6" spans="1:13" ht="3" hidden="1" customHeight="1">
      <c r="D6" s="62"/>
      <c r="E6" s="62"/>
      <c r="F6" s="62"/>
      <c r="G6" s="62"/>
      <c r="H6" s="62"/>
      <c r="I6" s="62"/>
      <c r="M6" s="61">
        <v>0</v>
      </c>
    </row>
    <row r="7" spans="1:13" s="296" customFormat="1" ht="14.65" customHeight="1">
      <c r="B7" s="59"/>
      <c r="C7" s="60"/>
      <c r="D7" s="63"/>
      <c r="E7" s="63"/>
      <c r="F7" s="63"/>
      <c r="G7" s="63"/>
      <c r="H7" s="690"/>
      <c r="I7" s="63"/>
      <c r="J7" s="64"/>
      <c r="M7" s="58">
        <v>14</v>
      </c>
    </row>
    <row r="8" spans="1:13" ht="14.65" customHeight="1">
      <c r="D8" s="2155" t="s">
        <v>298</v>
      </c>
      <c r="E8" s="2155"/>
      <c r="F8" s="2155"/>
      <c r="G8" s="2155"/>
      <c r="H8" s="2155"/>
      <c r="I8" s="2155" t="s">
        <v>299</v>
      </c>
      <c r="M8" s="61">
        <v>14</v>
      </c>
    </row>
    <row r="9" spans="1:13" ht="29.25" customHeight="1">
      <c r="D9" s="2155" t="s">
        <v>87</v>
      </c>
      <c r="E9" s="2155" t="s">
        <v>1886</v>
      </c>
      <c r="F9" s="2155"/>
      <c r="G9" s="2155"/>
      <c r="H9" s="2155"/>
      <c r="I9" s="2155"/>
      <c r="M9" s="61">
        <v>28</v>
      </c>
    </row>
    <row r="10" spans="1:13" ht="24" customHeight="1">
      <c r="D10" s="2155"/>
      <c r="E10" s="67" t="s">
        <v>1887</v>
      </c>
      <c r="F10" s="67" t="s">
        <v>1888</v>
      </c>
      <c r="G10" s="67" t="s">
        <v>1889</v>
      </c>
      <c r="H10" s="67" t="s">
        <v>388</v>
      </c>
      <c r="I10" s="2155"/>
      <c r="M10" s="61">
        <v>23</v>
      </c>
    </row>
    <row r="11" spans="1:13" ht="12" hidden="1" customHeight="1">
      <c r="D11" s="27" t="s">
        <v>108</v>
      </c>
      <c r="E11" s="27" t="s">
        <v>90</v>
      </c>
      <c r="F11" s="27" t="s">
        <v>110</v>
      </c>
      <c r="G11" s="27" t="s">
        <v>91</v>
      </c>
      <c r="H11" s="27" t="s">
        <v>92</v>
      </c>
      <c r="I11" s="27" t="s">
        <v>111</v>
      </c>
      <c r="M11" s="61">
        <v>0</v>
      </c>
    </row>
    <row r="12" spans="1:13" s="1749" customFormat="1" ht="26.25" customHeight="1">
      <c r="A12" s="83" t="s">
        <v>89</v>
      </c>
      <c r="B12" s="65" t="s">
        <v>22</v>
      </c>
      <c r="C12" s="66"/>
      <c r="D12" s="68" t="s">
        <v>108</v>
      </c>
      <c r="E12" s="319"/>
      <c r="F12" s="319"/>
      <c r="G12" s="1661" t="s">
        <v>22</v>
      </c>
      <c r="H12" s="320"/>
      <c r="I12" s="2110" t="s">
        <v>1890</v>
      </c>
      <c r="K12" s="210"/>
      <c r="L12" s="211"/>
      <c r="M12" s="57">
        <v>25</v>
      </c>
    </row>
    <row r="13" spans="1:13" ht="15.75" customHeight="1">
      <c r="A13" s="61"/>
      <c r="B13" s="61"/>
      <c r="C13" s="61"/>
      <c r="D13" s="49"/>
      <c r="E13" s="70" t="s">
        <v>466</v>
      </c>
      <c r="F13" s="69"/>
      <c r="G13" s="69"/>
      <c r="H13" s="152"/>
      <c r="I13" s="2112"/>
      <c r="M13" s="61">
        <v>15</v>
      </c>
    </row>
    <row r="14" spans="1:13" ht="3" customHeight="1">
      <c r="A14" s="61"/>
      <c r="B14" s="61"/>
      <c r="C14" s="61"/>
      <c r="M14" s="61">
        <v>3</v>
      </c>
    </row>
    <row r="15" spans="1:13" ht="29.25" customHeight="1">
      <c r="E15" s="2381" t="s">
        <v>1891</v>
      </c>
      <c r="F15" s="2381"/>
      <c r="G15" s="2381"/>
      <c r="H15" s="2381"/>
      <c r="M15" s="61">
        <v>28</v>
      </c>
    </row>
    <row r="16" spans="1:13" ht="14.25" hidden="1" customHeight="1">
      <c r="A16" s="58" t="s">
        <v>81</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82" t="s">
        <v>1892</v>
      </c>
      <c r="E7" s="2383"/>
      <c r="F7" s="205"/>
      <c r="J7" s="9">
        <v>22</v>
      </c>
    </row>
    <row r="8" spans="1:10" ht="3" customHeight="1">
      <c r="C8" s="32"/>
      <c r="D8" s="10"/>
      <c r="E8" s="10"/>
      <c r="J8" s="9">
        <v>3</v>
      </c>
    </row>
    <row r="9" spans="1:10" ht="16.899999999999999" customHeight="1">
      <c r="C9" s="32"/>
      <c r="D9" s="45" t="s">
        <v>87</v>
      </c>
      <c r="E9" s="198" t="s">
        <v>1893</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5"/>
      <c r="J12" s="9">
        <v>15</v>
      </c>
    </row>
    <row r="13" spans="1:10" ht="12.75" customHeight="1">
      <c r="C13" s="32"/>
      <c r="D13" s="200"/>
      <c r="E13" s="201" t="s">
        <v>1894</v>
      </c>
      <c r="J13" s="9">
        <v>12</v>
      </c>
    </row>
    <row r="14" spans="1:10" ht="3" customHeight="1">
      <c r="J14" s="9">
        <v>3</v>
      </c>
    </row>
    <row r="15" spans="1:10" ht="23.25" customHeight="1">
      <c r="C15" s="76"/>
      <c r="D15" s="2381" t="s">
        <v>1895</v>
      </c>
      <c r="E15" s="2381"/>
      <c r="F15" s="77"/>
      <c r="G15" s="77"/>
      <c r="H15" s="77"/>
      <c r="I15" s="77"/>
      <c r="J15" s="9">
        <v>22</v>
      </c>
    </row>
    <row r="16" spans="1:10" ht="14.25" hidden="1" customHeight="1">
      <c r="A16" s="9" t="s">
        <v>81</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52" t="s">
        <v>1896</v>
      </c>
      <c r="E7" s="2052"/>
      <c r="F7" s="205"/>
      <c r="M7" s="9">
        <v>22</v>
      </c>
    </row>
    <row r="8" spans="1:13" ht="3" customHeight="1">
      <c r="C8" s="32"/>
      <c r="D8" s="10"/>
      <c r="E8" s="10"/>
      <c r="M8" s="9">
        <v>3</v>
      </c>
    </row>
    <row r="9" spans="1:13" ht="16.899999999999999" customHeight="1">
      <c r="C9" s="32"/>
      <c r="D9" s="45" t="s">
        <v>87</v>
      </c>
      <c r="E9" s="48" t="s">
        <v>285</v>
      </c>
      <c r="M9" s="9">
        <v>16</v>
      </c>
    </row>
    <row r="10" spans="1:13" ht="12.75" customHeight="1">
      <c r="C10" s="32"/>
      <c r="D10" s="27" t="s">
        <v>108</v>
      </c>
      <c r="E10" s="27" t="s">
        <v>109</v>
      </c>
      <c r="M10" s="9">
        <v>12</v>
      </c>
    </row>
    <row r="11" spans="1:13" ht="15" hidden="1" customHeight="1">
      <c r="C11" s="32"/>
      <c r="D11" s="53">
        <v>0</v>
      </c>
      <c r="E11" s="87"/>
      <c r="M11" s="9">
        <v>0</v>
      </c>
    </row>
    <row r="12" spans="1:13" ht="14.65" customHeight="1">
      <c r="C12" s="32"/>
      <c r="D12" s="49"/>
      <c r="E12" s="47" t="s">
        <v>1894</v>
      </c>
      <c r="M12" s="9">
        <v>14</v>
      </c>
    </row>
    <row r="13" spans="1:13" ht="14.25" hidden="1" customHeight="1">
      <c r="A13" s="9" t="s">
        <v>81</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9" t="s">
        <v>14</v>
      </c>
    </row>
    <row r="2" spans="1:6" ht="22.5" customHeight="1">
      <c r="B2" s="2384" t="s">
        <v>1897</v>
      </c>
      <c r="C2" s="2384"/>
      <c r="D2" s="2384"/>
      <c r="E2" s="206"/>
      <c r="F2" s="29">
        <v>22</v>
      </c>
    </row>
    <row r="3" spans="1:6" ht="3" customHeight="1">
      <c r="F3" s="29">
        <v>3</v>
      </c>
    </row>
    <row r="4" spans="1:6" ht="23.25" customHeight="1">
      <c r="B4" s="2016" t="s">
        <v>1898</v>
      </c>
      <c r="C4" s="321" t="s">
        <v>1899</v>
      </c>
      <c r="D4" s="321" t="s">
        <v>1900</v>
      </c>
      <c r="F4" s="29">
        <v>22</v>
      </c>
    </row>
    <row r="5" spans="1:6" ht="11.25" hidden="1" customHeight="1">
      <c r="A5" s="29" t="s">
        <v>81</v>
      </c>
      <c r="B5" s="29">
        <v>34</v>
      </c>
      <c r="C5" s="29">
        <v>85</v>
      </c>
      <c r="D5" s="29">
        <v>17</v>
      </c>
      <c r="E5" s="29">
        <v>8</v>
      </c>
      <c r="F5" s="29">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1901</v>
      </c>
    </row>
    <row r="4" spans="1:80" s="202" customFormat="1" ht="15" customHeight="1">
      <c r="C4" s="1743"/>
      <c r="D4" s="53"/>
      <c r="E4" s="315"/>
    </row>
    <row r="6" spans="1:80" s="1742" customFormat="1" ht="17.25" customHeight="1">
      <c r="A6" s="1742" t="s">
        <v>1902</v>
      </c>
    </row>
    <row r="8" spans="1:80" s="202" customFormat="1" ht="17.25" customHeight="1">
      <c r="C8" s="1744"/>
      <c r="D8" s="53"/>
      <c r="E8" s="54"/>
    </row>
    <row r="11" spans="1:80" s="1742" customFormat="1" ht="17.25" customHeight="1">
      <c r="A11" s="1742" t="s">
        <v>1903</v>
      </c>
    </row>
    <row r="13" spans="1:80" s="1746" customFormat="1" ht="15" customHeight="1">
      <c r="A13" s="2172">
        <v>1</v>
      </c>
      <c r="B13" s="1088"/>
      <c r="C13" s="733" t="s">
        <v>687</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172"/>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172"/>
      <c r="B15" s="1088"/>
      <c r="C15" s="350"/>
      <c r="D15" s="733"/>
      <c r="E15" s="359"/>
      <c r="F15" s="115"/>
      <c r="G15" s="353" t="s">
        <v>101</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1904</v>
      </c>
    </row>
    <row r="19" spans="1:80" s="1776" customFormat="1" ht="15" customHeight="1">
      <c r="A19" s="1808"/>
      <c r="B19" s="1294">
        <v>1</v>
      </c>
      <c r="C19" s="1294"/>
      <c r="D19" s="732" t="s">
        <v>687</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1905</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687</v>
      </c>
      <c r="D23" s="2077" t="s">
        <v>108</v>
      </c>
      <c r="E23" s="2078"/>
      <c r="F23" s="2076" t="s">
        <v>19</v>
      </c>
      <c r="G23" s="2424"/>
      <c r="H23" s="2066">
        <v>1</v>
      </c>
      <c r="I23" s="2426" t="str">
        <f>IF(U23="","",INDEX(TERRITORY_MR_LIST,MATCH(U23,TERRITORY_LIST_ID,0)))</f>
        <v/>
      </c>
      <c r="J23" s="2076" t="s">
        <v>19</v>
      </c>
      <c r="K23" s="764"/>
      <c r="L23" s="1709" t="s">
        <v>108</v>
      </c>
      <c r="M23" s="541"/>
      <c r="N23" s="542"/>
      <c r="O23" s="542"/>
      <c r="P23" s="542"/>
      <c r="Q23" s="542"/>
      <c r="R23" s="542"/>
      <c r="S23" s="542"/>
      <c r="T23" s="542"/>
      <c r="U23" s="543"/>
      <c r="V23" s="542"/>
      <c r="W23" s="542"/>
      <c r="X23" s="533"/>
      <c r="Y23" s="533" t="s">
        <v>118</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077"/>
      <c r="E24" s="2079"/>
      <c r="F24" s="2076"/>
      <c r="G24" s="2425"/>
      <c r="H24" s="2066"/>
      <c r="I24" s="2427"/>
      <c r="J24" s="2076"/>
      <c r="K24" s="359"/>
      <c r="L24" s="115"/>
      <c r="M24" s="545" t="s">
        <v>119</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077"/>
      <c r="E25" s="2080"/>
      <c r="F25" s="2076"/>
      <c r="G25" s="359"/>
      <c r="H25" s="115"/>
      <c r="I25" s="518" t="s">
        <v>120</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1906</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428" t="s">
        <v>687</v>
      </c>
      <c r="H29" s="2047">
        <v>1</v>
      </c>
      <c r="I29" s="2429" t="str">
        <f>IF(U29="","",INDEX(TERRITORY_MR_LIST,MATCH(U29,TERRITORY_LIST_ID,0)))</f>
        <v/>
      </c>
      <c r="J29" s="2076" t="s">
        <v>19</v>
      </c>
      <c r="K29" s="764"/>
      <c r="L29" s="1709" t="s">
        <v>108</v>
      </c>
      <c r="M29" s="541"/>
      <c r="N29" s="542"/>
      <c r="O29" s="542"/>
      <c r="P29" s="542"/>
      <c r="Q29" s="542"/>
      <c r="R29" s="542"/>
      <c r="S29" s="542"/>
      <c r="T29" s="542"/>
      <c r="U29" s="543"/>
      <c r="V29" s="542"/>
      <c r="W29" s="542"/>
      <c r="X29" s="533"/>
      <c r="Y29" s="533" t="s">
        <v>118</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428"/>
      <c r="H30" s="2047"/>
      <c r="I30" s="2429"/>
      <c r="J30" s="2076"/>
      <c r="K30" s="359"/>
      <c r="L30" s="115"/>
      <c r="M30" s="545" t="s">
        <v>119</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1907</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687</v>
      </c>
      <c r="L34" s="1656" t="s">
        <v>108</v>
      </c>
      <c r="M34" s="743"/>
      <c r="N34" s="744"/>
      <c r="O34" s="542"/>
      <c r="P34" s="542"/>
      <c r="Q34" s="542"/>
      <c r="R34" s="542"/>
      <c r="S34" s="542"/>
      <c r="T34" s="542"/>
      <c r="U34" s="543"/>
      <c r="V34" s="542"/>
      <c r="W34" s="542"/>
      <c r="X34" s="533"/>
      <c r="Y34" s="533" t="s">
        <v>118</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1908</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1909</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1910</v>
      </c>
    </row>
    <row r="46" spans="1:38" ht="11.25" customHeight="1"/>
    <row r="47" spans="1:38" s="393" customFormat="1" ht="24" customHeight="1">
      <c r="A47" s="2148" t="s">
        <v>311</v>
      </c>
      <c r="B47" s="440"/>
      <c r="C47" s="2159"/>
      <c r="D47" s="383" t="str">
        <f>A47</f>
        <v>5.1</v>
      </c>
      <c r="E47" s="380" t="s">
        <v>312</v>
      </c>
      <c r="F47" s="1899" t="s">
        <v>304</v>
      </c>
      <c r="G47" s="382" t="s">
        <v>313</v>
      </c>
      <c r="H47" s="413"/>
      <c r="I47" s="784"/>
    </row>
    <row r="48" spans="1:38" s="393" customFormat="1" ht="22.5" customHeight="1">
      <c r="A48" s="2148"/>
      <c r="B48" s="440"/>
      <c r="C48" s="2159"/>
      <c r="D48" s="378" t="str">
        <f>D47&amp;".1"</f>
        <v>5.1.1</v>
      </c>
      <c r="E48" s="377" t="s">
        <v>314</v>
      </c>
      <c r="F48" s="1900" t="s">
        <v>22</v>
      </c>
      <c r="G48" s="412"/>
      <c r="H48" s="413"/>
      <c r="I48" s="784"/>
    </row>
    <row r="49" spans="1:45" s="393" customFormat="1" ht="22.5" customHeight="1">
      <c r="A49" s="2148"/>
      <c r="B49" s="440"/>
      <c r="C49" s="2159"/>
      <c r="D49" s="378" t="str">
        <f>D47&amp;".2"</f>
        <v>5.1.2</v>
      </c>
      <c r="E49" s="377" t="s">
        <v>315</v>
      </c>
      <c r="F49" s="1659" t="s">
        <v>22</v>
      </c>
      <c r="G49" s="382" t="s">
        <v>316</v>
      </c>
      <c r="H49" s="413"/>
      <c r="I49" s="784"/>
    </row>
    <row r="50" spans="1:45" s="393" customFormat="1" ht="22.5" customHeight="1">
      <c r="A50" s="2148"/>
      <c r="B50" s="440"/>
      <c r="C50" s="2159"/>
      <c r="D50" s="378" t="str">
        <f>D47&amp;".3"</f>
        <v>5.1.3</v>
      </c>
      <c r="E50" s="377" t="s">
        <v>317</v>
      </c>
      <c r="F50" s="1900" t="s">
        <v>22</v>
      </c>
      <c r="G50" s="412"/>
      <c r="H50" s="413"/>
      <c r="I50" s="784"/>
    </row>
    <row r="51" spans="1:45" s="393" customFormat="1" ht="22.5" customHeight="1">
      <c r="A51" s="2148"/>
      <c r="B51" s="440"/>
      <c r="C51" s="2159"/>
      <c r="D51" s="378" t="str">
        <f>D47&amp;".4"</f>
        <v>5.1.4</v>
      </c>
      <c r="E51" s="377" t="s">
        <v>318</v>
      </c>
      <c r="F51" s="1900" t="s">
        <v>22</v>
      </c>
      <c r="G51" s="382" t="s">
        <v>319</v>
      </c>
      <c r="H51" s="413"/>
      <c r="I51" s="784"/>
    </row>
    <row r="54" spans="1:45" s="1742" customFormat="1" ht="17.25" customHeight="1">
      <c r="A54" s="1742" t="s">
        <v>1911</v>
      </c>
    </row>
    <row r="56" spans="1:45" s="1540" customFormat="1" ht="18.75" customHeight="1">
      <c r="A56" s="29"/>
      <c r="B56" s="1749"/>
      <c r="C56" s="1749"/>
      <c r="D56" s="1750"/>
      <c r="E56" s="1736"/>
      <c r="F56" s="800">
        <v>13</v>
      </c>
      <c r="G56" s="799"/>
      <c r="H56" s="725"/>
      <c r="I56" s="723"/>
      <c r="J56" s="458" t="s">
        <v>65</v>
      </c>
      <c r="K56" s="1751" t="s">
        <v>22</v>
      </c>
      <c r="L56" s="29"/>
      <c r="M56" s="1564"/>
      <c r="N56" s="1564"/>
      <c r="O56" s="1564"/>
      <c r="P56" s="454" t="s">
        <v>390</v>
      </c>
      <c r="Q56" s="454" t="s">
        <v>391</v>
      </c>
      <c r="R56" s="455" t="s">
        <v>392</v>
      </c>
      <c r="S56" s="1564" t="s">
        <v>393</v>
      </c>
      <c r="T56" s="1564"/>
      <c r="U56" s="1564"/>
      <c r="V56" s="1564"/>
    </row>
    <row r="58" spans="1:45" s="1742" customFormat="1" ht="11.25" customHeight="1">
      <c r="A58" s="1742" t="s">
        <v>1912</v>
      </c>
    </row>
    <row r="60" spans="1:45" s="1563" customFormat="1" ht="14.25" customHeight="1">
      <c r="C60" s="1616"/>
      <c r="D60" s="1795"/>
      <c r="E60" s="1704" t="s">
        <v>22</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379</v>
      </c>
      <c r="AQ60" s="1552" t="s">
        <v>379</v>
      </c>
      <c r="AR60" s="1564"/>
      <c r="AS60" s="1564"/>
    </row>
    <row r="62" spans="1:45" s="1742" customFormat="1" ht="11.25" customHeight="1">
      <c r="A62" s="1742" t="s">
        <v>1913</v>
      </c>
    </row>
    <row r="64" spans="1:45" s="1749" customFormat="1" ht="15" customHeight="1">
      <c r="A64" s="83" t="s">
        <v>89</v>
      </c>
      <c r="B64" s="65" t="s">
        <v>22</v>
      </c>
      <c r="C64" s="1752"/>
      <c r="D64" s="68"/>
      <c r="E64" s="319"/>
      <c r="F64" s="319"/>
      <c r="G64" s="1730"/>
      <c r="H64" s="1751"/>
      <c r="I64" s="1731"/>
      <c r="K64" s="210"/>
      <c r="L64" s="211"/>
    </row>
    <row r="66" spans="1:30" s="1742" customFormat="1" ht="11.25" customHeight="1">
      <c r="A66" s="1742" t="s">
        <v>1914</v>
      </c>
    </row>
    <row r="68" spans="1:30" s="1563" customFormat="1" ht="14.25" customHeight="1">
      <c r="A68" s="281"/>
      <c r="B68" s="1088"/>
      <c r="C68" s="314"/>
      <c r="D68" s="1737"/>
      <c r="E68" s="817"/>
      <c r="F68" s="1751"/>
      <c r="G68" s="29"/>
      <c r="I68" s="1552"/>
      <c r="J68" s="1552"/>
    </row>
    <row r="70" spans="1:30" s="1742" customFormat="1" ht="11.25" customHeight="1">
      <c r="A70" s="1742" t="s">
        <v>1915</v>
      </c>
    </row>
    <row r="72" spans="1:30" s="1563" customFormat="1" ht="27" customHeight="1">
      <c r="A72" s="1094"/>
      <c r="B72" s="1094"/>
      <c r="C72" s="1094"/>
      <c r="D72" s="1088"/>
      <c r="E72" s="1753"/>
      <c r="F72" s="2385"/>
      <c r="G72" s="2386"/>
      <c r="H72" s="2387" t="s">
        <v>65</v>
      </c>
      <c r="I72" s="2389"/>
      <c r="J72" s="2391"/>
      <c r="K72" s="2393"/>
      <c r="L72" s="2405"/>
      <c r="M72" s="2405"/>
      <c r="N72" s="2432"/>
      <c r="O72" s="2432"/>
      <c r="P72" s="2433" t="e">
        <f>DATEDIF(DATEVALUE(N72),DATEVALUE(O72),"y")&amp;"г. "&amp;DATEDIF(DATEVALUE(N72),DATEVALUE(O72),"ym")&amp;"мес. "&amp;DATEVALUE(O72)-DATE(YEAR(DATEVALUE(O72)),MONTH(DATEVALUE(O72)),1)&amp;"дн. "</f>
        <v>#VALUE!</v>
      </c>
      <c r="Q72" s="2406"/>
      <c r="R72" s="2406"/>
      <c r="S72" s="2406"/>
      <c r="T72" s="2391"/>
      <c r="U72" s="2406"/>
      <c r="V72" s="2406"/>
      <c r="W72" s="2406"/>
      <c r="X72" s="2391"/>
      <c r="Y72" s="2430" t="s">
        <v>65</v>
      </c>
      <c r="Z72" s="1735"/>
      <c r="AA72" s="1719">
        <v>1</v>
      </c>
      <c r="AB72" s="1170"/>
      <c r="AD72" s="1564" t="s">
        <v>1916</v>
      </c>
    </row>
    <row r="73" spans="1:30" s="1563" customFormat="1" ht="10.5" customHeight="1">
      <c r="A73" s="1094"/>
      <c r="B73" s="1094"/>
      <c r="C73" s="1094"/>
      <c r="D73" s="1088"/>
      <c r="E73" s="878"/>
      <c r="F73" s="2385"/>
      <c r="G73" s="2386"/>
      <c r="H73" s="2388"/>
      <c r="I73" s="2390"/>
      <c r="J73" s="2392"/>
      <c r="K73" s="2393"/>
      <c r="L73" s="2405"/>
      <c r="M73" s="2405"/>
      <c r="N73" s="2432"/>
      <c r="O73" s="2432"/>
      <c r="P73" s="2433"/>
      <c r="Q73" s="2406"/>
      <c r="R73" s="2406"/>
      <c r="S73" s="2406"/>
      <c r="T73" s="2392"/>
      <c r="U73" s="2406"/>
      <c r="V73" s="2406"/>
      <c r="W73" s="2406"/>
      <c r="X73" s="2392"/>
      <c r="Y73" s="2431"/>
      <c r="Z73" s="285"/>
      <c r="AA73" s="510"/>
      <c r="AB73" s="590" t="s">
        <v>1917</v>
      </c>
    </row>
    <row r="75" spans="1:30" s="1742" customFormat="1" ht="11.25" customHeight="1">
      <c r="A75" s="1742" t="s">
        <v>1918</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1916</v>
      </c>
    </row>
    <row r="79" spans="1:30" s="1742" customFormat="1" ht="11.25" customHeight="1">
      <c r="A79" s="1742" t="s">
        <v>1919</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436"/>
      <c r="G82" s="2345"/>
      <c r="H82" s="2439" t="s">
        <v>374</v>
      </c>
      <c r="I82" s="2440"/>
      <c r="J82" s="2397"/>
      <c r="K82" s="2397"/>
      <c r="L82" s="2434"/>
      <c r="M82" s="2191"/>
      <c r="N82" s="1959"/>
      <c r="O82" s="1958"/>
      <c r="P82" s="1959"/>
      <c r="Q82" s="1959"/>
      <c r="R82" s="1959"/>
      <c r="S82" s="1959"/>
      <c r="T82" s="1959"/>
      <c r="U82" s="1959"/>
      <c r="V82" s="1959"/>
      <c r="W82" s="1959"/>
      <c r="X82" s="1959"/>
      <c r="Y82" s="1959"/>
      <c r="Z82" s="1959"/>
      <c r="AA82" s="1959"/>
      <c r="AB82" s="1959"/>
      <c r="AC82" s="1959"/>
      <c r="AD82" s="1959"/>
      <c r="AE82" s="1959"/>
      <c r="AF82" s="2438"/>
      <c r="AG82" s="2434"/>
      <c r="AH82" s="2434"/>
      <c r="AI82" s="2438"/>
      <c r="AJ82" s="2434"/>
      <c r="AK82" s="2434"/>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436"/>
      <c r="G83" s="2345"/>
      <c r="H83" s="2439"/>
      <c r="I83" s="2440"/>
      <c r="J83" s="2397"/>
      <c r="K83" s="2397"/>
      <c r="L83" s="2434"/>
      <c r="M83" s="2191"/>
      <c r="N83" s="2441"/>
      <c r="O83" s="2442"/>
      <c r="P83" s="2394"/>
      <c r="Q83" s="2397"/>
      <c r="R83" s="2397"/>
      <c r="S83" s="2397"/>
      <c r="T83" s="2397"/>
      <c r="U83" s="2397"/>
      <c r="V83" s="2397"/>
      <c r="W83" s="2397"/>
      <c r="X83" s="2397"/>
      <c r="Y83" s="2397"/>
      <c r="Z83" s="1960"/>
      <c r="AA83" s="1961"/>
      <c r="AB83" s="1961"/>
      <c r="AC83" s="1962"/>
      <c r="AD83" s="1962"/>
      <c r="AE83" s="1963"/>
      <c r="AF83" s="2438"/>
      <c r="AG83" s="2434"/>
      <c r="AH83" s="2434"/>
      <c r="AI83" s="2438"/>
      <c r="AJ83" s="2434"/>
      <c r="AK83" s="2434"/>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436"/>
      <c r="G84" s="2345"/>
      <c r="H84" s="2439"/>
      <c r="I84" s="2440"/>
      <c r="J84" s="2397"/>
      <c r="K84" s="2397"/>
      <c r="L84" s="2434"/>
      <c r="M84" s="2191"/>
      <c r="N84" s="2441"/>
      <c r="O84" s="2442"/>
      <c r="P84" s="2395"/>
      <c r="Q84" s="2397"/>
      <c r="R84" s="2397"/>
      <c r="S84" s="2397"/>
      <c r="T84" s="2397"/>
      <c r="U84" s="2397"/>
      <c r="V84" s="2397"/>
      <c r="W84" s="2397"/>
      <c r="X84" s="2397"/>
      <c r="Y84" s="2397"/>
      <c r="Z84" s="1964"/>
      <c r="AA84" s="1965"/>
      <c r="AB84" s="1966"/>
      <c r="AC84" s="1967"/>
      <c r="AD84" s="1966"/>
      <c r="AE84" s="1967"/>
      <c r="AF84" s="2438"/>
      <c r="AG84" s="2434"/>
      <c r="AH84" s="2434"/>
      <c r="AI84" s="2438"/>
      <c r="AJ84" s="2434"/>
      <c r="AK84" s="2434"/>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436"/>
      <c r="G85" s="2345"/>
      <c r="H85" s="2439"/>
      <c r="I85" s="2440"/>
      <c r="J85" s="2397"/>
      <c r="K85" s="2397"/>
      <c r="L85" s="2434"/>
      <c r="M85" s="2191"/>
      <c r="N85" s="2441"/>
      <c r="O85" s="2442"/>
      <c r="P85" s="2396"/>
      <c r="Q85" s="2397"/>
      <c r="R85" s="2397"/>
      <c r="S85" s="2397"/>
      <c r="T85" s="2397"/>
      <c r="U85" s="2397"/>
      <c r="V85" s="2397"/>
      <c r="W85" s="2397"/>
      <c r="X85" s="2397"/>
      <c r="Y85" s="2397"/>
      <c r="Z85" s="1960"/>
      <c r="AA85" s="1961"/>
      <c r="AB85" s="1968"/>
      <c r="AC85" s="1962"/>
      <c r="AD85" s="1962"/>
      <c r="AE85" s="1969"/>
      <c r="AF85" s="2438"/>
      <c r="AG85" s="2434"/>
      <c r="AH85" s="2434"/>
      <c r="AI85" s="2438"/>
      <c r="AJ85" s="2434"/>
      <c r="AK85" s="2434"/>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436"/>
      <c r="G86" s="2345"/>
      <c r="H86" s="2439"/>
      <c r="I86" s="2440"/>
      <c r="J86" s="2397"/>
      <c r="K86" s="2397"/>
      <c r="L86" s="2434"/>
      <c r="M86" s="2191"/>
      <c r="N86" s="1961"/>
      <c r="O86" s="1961"/>
      <c r="P86" s="1968"/>
      <c r="Q86" s="1961"/>
      <c r="R86" s="1961"/>
      <c r="S86" s="1961"/>
      <c r="T86" s="1961"/>
      <c r="U86" s="1961"/>
      <c r="V86" s="1961"/>
      <c r="W86" s="1961"/>
      <c r="X86" s="1961"/>
      <c r="Y86" s="1961"/>
      <c r="Z86" s="1961"/>
      <c r="AA86" s="1961"/>
      <c r="AB86" s="1961"/>
      <c r="AC86" s="1961"/>
      <c r="AD86" s="1961"/>
      <c r="AE86" s="1970"/>
      <c r="AF86" s="2438"/>
      <c r="AG86" s="2434"/>
      <c r="AH86" s="2434"/>
      <c r="AI86" s="2438"/>
      <c r="AJ86" s="2434"/>
      <c r="AK86" s="2434"/>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437"/>
      <c r="G87" s="1118"/>
      <c r="H87" s="1118"/>
      <c r="I87" s="2435" t="s">
        <v>1920</v>
      </c>
      <c r="J87" s="2435"/>
      <c r="K87" s="2435"/>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1921</v>
      </c>
    </row>
    <row r="91" spans="1:58" s="1563" customFormat="1" ht="11.25" customHeight="1">
      <c r="A91" s="1094"/>
      <c r="B91" s="1094"/>
      <c r="C91" s="1094"/>
      <c r="D91" s="1088"/>
      <c r="E91" s="1098"/>
      <c r="F91" s="1755"/>
      <c r="G91" s="1756"/>
      <c r="H91" s="1756"/>
      <c r="I91" s="1691"/>
      <c r="J91" s="1691"/>
      <c r="K91" s="1757"/>
      <c r="L91" s="1691"/>
      <c r="M91" s="1756"/>
      <c r="N91" s="2398"/>
      <c r="O91" s="2399">
        <v>1</v>
      </c>
      <c r="P91" s="2400" t="s">
        <v>19</v>
      </c>
      <c r="Q91" s="2309" t="s">
        <v>22</v>
      </c>
      <c r="R91" s="2309" t="s">
        <v>22</v>
      </c>
      <c r="S91" s="2309" t="s">
        <v>22</v>
      </c>
      <c r="T91" s="2309" t="s">
        <v>22</v>
      </c>
      <c r="U91" s="2309" t="s">
        <v>22</v>
      </c>
      <c r="V91" s="2309" t="s">
        <v>22</v>
      </c>
      <c r="W91" s="2309" t="s">
        <v>22</v>
      </c>
      <c r="X91" s="2309" t="s">
        <v>22</v>
      </c>
      <c r="Y91" s="2309"/>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398"/>
      <c r="O92" s="2399"/>
      <c r="P92" s="2401"/>
      <c r="Q92" s="2309"/>
      <c r="R92" s="2309"/>
      <c r="S92" s="2403"/>
      <c r="T92" s="2309"/>
      <c r="U92" s="2309"/>
      <c r="V92" s="2309"/>
      <c r="W92" s="2309"/>
      <c r="X92" s="2309"/>
      <c r="Y92" s="2309"/>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398"/>
      <c r="O93" s="2399"/>
      <c r="P93" s="2402"/>
      <c r="Q93" s="2309"/>
      <c r="R93" s="2309"/>
      <c r="S93" s="2403"/>
      <c r="T93" s="2309"/>
      <c r="U93" s="2309"/>
      <c r="V93" s="2309"/>
      <c r="W93" s="2309"/>
      <c r="X93" s="2309"/>
      <c r="Y93" s="2309"/>
      <c r="Z93" s="1103"/>
      <c r="AA93" s="1104"/>
      <c r="AB93" s="1169" t="s">
        <v>1922</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1923</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1924</v>
      </c>
    </row>
    <row r="101" spans="1:184" s="1563" customFormat="1" ht="11.25" customHeight="1">
      <c r="A101" s="1094"/>
      <c r="B101" s="1094"/>
      <c r="C101" s="1094"/>
      <c r="D101" s="1088"/>
      <c r="E101" s="1098"/>
      <c r="F101" s="1755"/>
      <c r="G101" s="1756"/>
      <c r="H101" s="2345" t="s">
        <v>108</v>
      </c>
      <c r="I101" s="2455"/>
      <c r="J101" s="2378"/>
      <c r="K101" s="2453"/>
      <c r="L101" s="2076" t="s">
        <v>19</v>
      </c>
      <c r="M101" s="2077"/>
      <c r="N101" s="1909"/>
      <c r="O101" s="1105" t="s">
        <v>374</v>
      </c>
      <c r="P101" s="1106"/>
      <c r="Q101" s="1106"/>
      <c r="R101" s="1106"/>
      <c r="S101" s="1106"/>
      <c r="T101" s="1106"/>
      <c r="U101" s="1106"/>
      <c r="V101" s="1106"/>
      <c r="W101" s="1106"/>
      <c r="X101" s="1106"/>
      <c r="Y101" s="1106"/>
      <c r="Z101" s="1106"/>
      <c r="AA101" s="1106"/>
      <c r="AB101" s="1106"/>
      <c r="AC101" s="1106"/>
      <c r="AD101" s="1106"/>
      <c r="AE101" s="1106"/>
      <c r="AF101" s="2456"/>
      <c r="AG101" s="2457"/>
      <c r="AH101" s="2457"/>
      <c r="AI101" s="2456"/>
      <c r="AJ101" s="2457"/>
      <c r="AK101" s="2457"/>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345"/>
      <c r="I102" s="2455"/>
      <c r="J102" s="2378"/>
      <c r="K102" s="2453"/>
      <c r="L102" s="2076"/>
      <c r="M102" s="2077"/>
      <c r="N102" s="2398"/>
      <c r="O102" s="2458">
        <v>1</v>
      </c>
      <c r="P102" s="2400" t="s">
        <v>19</v>
      </c>
      <c r="Q102" s="2309" t="s">
        <v>22</v>
      </c>
      <c r="R102" s="2309" t="s">
        <v>22</v>
      </c>
      <c r="S102" s="2309" t="s">
        <v>22</v>
      </c>
      <c r="T102" s="2309" t="s">
        <v>22</v>
      </c>
      <c r="U102" s="2309" t="s">
        <v>22</v>
      </c>
      <c r="V102" s="2309" t="s">
        <v>22</v>
      </c>
      <c r="W102" s="2309" t="s">
        <v>22</v>
      </c>
      <c r="X102" s="2309" t="s">
        <v>22</v>
      </c>
      <c r="Y102" s="2309"/>
      <c r="Z102" s="1103"/>
      <c r="AA102" s="1104"/>
      <c r="AB102" s="1104"/>
      <c r="AC102" s="1108"/>
      <c r="AD102" s="1108"/>
      <c r="AE102" s="1109"/>
      <c r="AF102" s="2456"/>
      <c r="AG102" s="2457"/>
      <c r="AH102" s="2457"/>
      <c r="AI102" s="2456"/>
      <c r="AJ102" s="2457"/>
      <c r="AK102" s="2457"/>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345"/>
      <c r="I103" s="2455"/>
      <c r="J103" s="2378"/>
      <c r="K103" s="2453"/>
      <c r="L103" s="2076"/>
      <c r="M103" s="2077"/>
      <c r="N103" s="2398"/>
      <c r="O103" s="2458"/>
      <c r="P103" s="2401"/>
      <c r="Q103" s="2309"/>
      <c r="R103" s="2309"/>
      <c r="S103" s="2403"/>
      <c r="T103" s="2309"/>
      <c r="U103" s="2309"/>
      <c r="V103" s="2309"/>
      <c r="W103" s="2309"/>
      <c r="X103" s="2309"/>
      <c r="Y103" s="2309"/>
      <c r="Z103" s="1754"/>
      <c r="AA103" s="1721">
        <v>1</v>
      </c>
      <c r="AB103" s="1107"/>
      <c r="AC103" s="1097"/>
      <c r="AD103" s="1107">
        <f>AB103</f>
        <v>0</v>
      </c>
      <c r="AE103" s="1097"/>
      <c r="AF103" s="2456"/>
      <c r="AG103" s="2457"/>
      <c r="AH103" s="2457"/>
      <c r="AI103" s="2456"/>
      <c r="AJ103" s="2457"/>
      <c r="AK103" s="2457"/>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345"/>
      <c r="I104" s="2455"/>
      <c r="J104" s="2378"/>
      <c r="K104" s="2453"/>
      <c r="L104" s="2076"/>
      <c r="M104" s="2077"/>
      <c r="N104" s="2398"/>
      <c r="O104" s="2458"/>
      <c r="P104" s="2402"/>
      <c r="Q104" s="2309"/>
      <c r="R104" s="2309"/>
      <c r="S104" s="2403"/>
      <c r="T104" s="2309"/>
      <c r="U104" s="2309"/>
      <c r="V104" s="2309"/>
      <c r="W104" s="2309"/>
      <c r="X104" s="2309"/>
      <c r="Y104" s="2309"/>
      <c r="Z104" s="1103"/>
      <c r="AA104" s="1104"/>
      <c r="AB104" s="1169" t="s">
        <v>1922</v>
      </c>
      <c r="AC104" s="1108"/>
      <c r="AD104" s="1108"/>
      <c r="AE104" s="1110"/>
      <c r="AF104" s="2456"/>
      <c r="AG104" s="2457"/>
      <c r="AH104" s="2457"/>
      <c r="AI104" s="2456"/>
      <c r="AJ104" s="2457"/>
      <c r="AK104" s="2457"/>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345"/>
      <c r="I105" s="2455"/>
      <c r="J105" s="2378"/>
      <c r="K105" s="2453"/>
      <c r="L105" s="2076"/>
      <c r="M105" s="2077"/>
      <c r="N105" s="1103"/>
      <c r="O105" s="1104"/>
      <c r="P105" s="1096" t="s">
        <v>1925</v>
      </c>
      <c r="Q105" s="1104"/>
      <c r="R105" s="1104"/>
      <c r="S105" s="1104"/>
      <c r="T105" s="1104"/>
      <c r="U105" s="1104"/>
      <c r="V105" s="1104"/>
      <c r="W105" s="1104"/>
      <c r="X105" s="1104"/>
      <c r="Y105" s="1104"/>
      <c r="Z105" s="1104"/>
      <c r="AA105" s="1104"/>
      <c r="AB105" s="1104"/>
      <c r="AC105" s="1104"/>
      <c r="AD105" s="1104"/>
      <c r="AE105" s="1111"/>
      <c r="AF105" s="2456"/>
      <c r="AG105" s="2457"/>
      <c r="AH105" s="2457"/>
      <c r="AI105" s="2456"/>
      <c r="AJ105" s="2457"/>
      <c r="AK105" s="2457"/>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1926</v>
      </c>
    </row>
    <row r="108" spans="1:184" ht="17.25" customHeight="1"/>
    <row r="109" spans="1:184" s="856" customFormat="1" ht="21" customHeight="1">
      <c r="A109" s="1095"/>
      <c r="B109" s="871"/>
      <c r="D109" s="855"/>
      <c r="E109" s="870" t="s">
        <v>22</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1927</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1928</v>
      </c>
    </row>
    <row r="115" spans="1:83" s="1776" customFormat="1" ht="15" customHeight="1">
      <c r="A115" s="561"/>
      <c r="B115" s="562"/>
      <c r="C115" s="562"/>
      <c r="D115" s="2410" t="s">
        <v>108</v>
      </c>
      <c r="E115" s="2286" t="s">
        <v>104</v>
      </c>
      <c r="F115" s="2287"/>
      <c r="G115" s="2288"/>
      <c r="H115" s="2282" t="str">
        <f>IF(A115="","",INDEX(DIFFERENTIATION_UNMERGE_VD,MATCH(A115,DIFFERENTIATION_ID_DIFF,0)))</f>
        <v/>
      </c>
      <c r="I115" s="2282"/>
      <c r="J115" s="2282"/>
      <c r="K115" s="2282"/>
      <c r="L115" s="2282"/>
      <c r="M115" s="2282"/>
      <c r="N115" s="2282"/>
      <c r="O115" s="2282"/>
      <c r="P115" s="2282"/>
      <c r="Q115" s="2282"/>
      <c r="R115" s="2282"/>
      <c r="S115" s="657"/>
      <c r="T115" s="654"/>
      <c r="U115" s="563"/>
      <c r="V115" s="563"/>
      <c r="W115" s="564"/>
      <c r="X115" s="564"/>
      <c r="Y115" s="564"/>
      <c r="Z115" s="564"/>
      <c r="AA115" s="565"/>
      <c r="AB115" s="566"/>
      <c r="AC115" s="2285"/>
      <c r="AD115" s="567"/>
      <c r="AE115" s="568" t="s">
        <v>22</v>
      </c>
      <c r="AF115" s="568"/>
      <c r="AG115" s="569" t="s">
        <v>607</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411"/>
      <c r="E116" s="2286" t="s">
        <v>562</v>
      </c>
      <c r="F116" s="2287"/>
      <c r="G116" s="2288"/>
      <c r="H116" s="2282" t="str">
        <f>IF(A115="","",INDEX(DIFFERENTIATION_UNMERGE_AREA,MATCH(A115,DIFFERENTIATION_ID_DIFF,0)))</f>
        <v/>
      </c>
      <c r="I116" s="2282"/>
      <c r="J116" s="2282"/>
      <c r="K116" s="2282"/>
      <c r="L116" s="2282"/>
      <c r="M116" s="2282"/>
      <c r="N116" s="2282"/>
      <c r="O116" s="2282"/>
      <c r="P116" s="2282"/>
      <c r="Q116" s="2282"/>
      <c r="R116" s="2282"/>
      <c r="S116" s="657"/>
      <c r="T116" s="654"/>
      <c r="U116" s="563"/>
      <c r="V116" s="563"/>
      <c r="W116" s="564"/>
      <c r="X116" s="564"/>
      <c r="Y116" s="564"/>
      <c r="Z116" s="564"/>
      <c r="AA116" s="565"/>
      <c r="AB116" s="566"/>
      <c r="AC116" s="2285"/>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411"/>
      <c r="E117" s="2286" t="s">
        <v>563</v>
      </c>
      <c r="F117" s="2287"/>
      <c r="G117" s="2288"/>
      <c r="H117" s="2282" t="str">
        <f>IF(A115="","",INDEX(DIFFERENTIATION_UNMERGE_SYSTEM,MATCH(A115,DIFFERENTIATION_ID_DIFF,0)))</f>
        <v/>
      </c>
      <c r="I117" s="2282"/>
      <c r="J117" s="2282"/>
      <c r="K117" s="2282"/>
      <c r="L117" s="2282"/>
      <c r="M117" s="2282"/>
      <c r="N117" s="2282"/>
      <c r="O117" s="2282"/>
      <c r="P117" s="2282"/>
      <c r="Q117" s="2282"/>
      <c r="R117" s="2282"/>
      <c r="S117" s="657"/>
      <c r="T117" s="654"/>
      <c r="U117" s="563"/>
      <c r="V117" s="563"/>
      <c r="W117" s="564"/>
      <c r="X117" s="564"/>
      <c r="Y117" s="564"/>
      <c r="Z117" s="564"/>
      <c r="AA117" s="565"/>
      <c r="AB117" s="566"/>
      <c r="AC117" s="2285"/>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411"/>
      <c r="E118" s="2284" t="s">
        <v>608</v>
      </c>
      <c r="F118" s="2284"/>
      <c r="G118" s="2284"/>
      <c r="H118" s="2284"/>
      <c r="I118" s="2284"/>
      <c r="J118" s="2284"/>
      <c r="K118" s="2284"/>
      <c r="L118" s="2284"/>
      <c r="M118" s="2284"/>
      <c r="N118" s="2284"/>
      <c r="O118" s="2284"/>
      <c r="P118" s="2284"/>
      <c r="Q118" s="496">
        <f>SUMIF(T119:T120,"i",Q119:Q120)</f>
        <v>0</v>
      </c>
      <c r="R118" s="948"/>
      <c r="S118" s="1725" t="s">
        <v>609</v>
      </c>
      <c r="T118" s="655" t="s">
        <v>610</v>
      </c>
      <c r="U118" s="2198">
        <v>1</v>
      </c>
      <c r="V118" s="2198" t="s">
        <v>573</v>
      </c>
      <c r="W118" s="1088"/>
      <c r="X118" s="1088"/>
      <c r="Y118" s="1088"/>
      <c r="Z118" s="1088"/>
      <c r="AA118" s="1564"/>
      <c r="AB118" s="1088"/>
      <c r="AC118" s="2285"/>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411"/>
      <c r="E119" s="573"/>
      <c r="F119" s="573">
        <v>0</v>
      </c>
      <c r="G119" s="573"/>
      <c r="H119" s="573"/>
      <c r="I119" s="573"/>
      <c r="J119" s="573"/>
      <c r="K119" s="573"/>
      <c r="L119" s="573"/>
      <c r="M119" s="573"/>
      <c r="N119" s="573"/>
      <c r="O119" s="573"/>
      <c r="P119" s="573"/>
      <c r="Q119" s="573"/>
      <c r="R119" s="573"/>
      <c r="S119" s="574"/>
      <c r="T119" s="656"/>
      <c r="U119" s="2198"/>
      <c r="V119" s="2198"/>
      <c r="W119" s="1564"/>
      <c r="X119" s="1564"/>
      <c r="Y119" s="1564"/>
      <c r="Z119" s="1564"/>
      <c r="AA119" s="1564"/>
      <c r="AB119" s="1088"/>
      <c r="AC119" s="2285"/>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411"/>
      <c r="E120" s="587" t="s">
        <v>22</v>
      </c>
      <c r="F120" s="1096" t="s">
        <v>22</v>
      </c>
      <c r="G120" s="1096" t="s">
        <v>1929</v>
      </c>
      <c r="H120" s="589" t="s">
        <v>22</v>
      </c>
      <c r="I120" s="589"/>
      <c r="J120" s="589"/>
      <c r="K120" s="589"/>
      <c r="L120" s="589"/>
      <c r="M120" s="589"/>
      <c r="N120" s="589"/>
      <c r="O120" s="589"/>
      <c r="P120" s="589"/>
      <c r="Q120" s="589"/>
      <c r="R120" s="590"/>
      <c r="S120" s="591"/>
      <c r="T120" s="656"/>
      <c r="U120" s="2198"/>
      <c r="V120" s="2198"/>
      <c r="W120" s="1088"/>
      <c r="X120" s="1088"/>
      <c r="Y120" s="1088"/>
      <c r="Z120" s="1088"/>
      <c r="AA120" s="1564"/>
      <c r="AB120" s="1088"/>
      <c r="AC120" s="2285"/>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411"/>
      <c r="E121" s="2284" t="s">
        <v>611</v>
      </c>
      <c r="F121" s="2284"/>
      <c r="G121" s="2284"/>
      <c r="H121" s="2284"/>
      <c r="I121" s="2284"/>
      <c r="J121" s="2284"/>
      <c r="K121" s="2284"/>
      <c r="L121" s="2284"/>
      <c r="M121" s="2284"/>
      <c r="N121" s="2284"/>
      <c r="O121" s="2284"/>
      <c r="P121" s="2284"/>
      <c r="Q121" s="496">
        <f>SUMIF(T122:T123,"i",Q122:Q123)</f>
        <v>0</v>
      </c>
      <c r="R121" s="948"/>
      <c r="S121" s="1725" t="s">
        <v>612</v>
      </c>
      <c r="T121" s="655" t="s">
        <v>610</v>
      </c>
      <c r="U121" s="2198">
        <v>1</v>
      </c>
      <c r="V121" s="2198" t="s">
        <v>573</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411"/>
      <c r="E122" s="573"/>
      <c r="F122" s="573">
        <v>0</v>
      </c>
      <c r="G122" s="573"/>
      <c r="H122" s="573"/>
      <c r="I122" s="573"/>
      <c r="J122" s="573"/>
      <c r="K122" s="573"/>
      <c r="L122" s="573"/>
      <c r="M122" s="573"/>
      <c r="N122" s="573"/>
      <c r="O122" s="573"/>
      <c r="P122" s="573"/>
      <c r="Q122" s="573"/>
      <c r="R122" s="573"/>
      <c r="S122" s="574"/>
      <c r="T122" s="656"/>
      <c r="U122" s="2198"/>
      <c r="V122" s="2198"/>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412"/>
      <c r="E123" s="587" t="s">
        <v>22</v>
      </c>
      <c r="F123" s="1096" t="s">
        <v>22</v>
      </c>
      <c r="G123" s="1096" t="s">
        <v>1929</v>
      </c>
      <c r="H123" s="589" t="s">
        <v>22</v>
      </c>
      <c r="I123" s="589"/>
      <c r="J123" s="589"/>
      <c r="K123" s="589"/>
      <c r="L123" s="589"/>
      <c r="M123" s="589"/>
      <c r="N123" s="589"/>
      <c r="O123" s="589"/>
      <c r="P123" s="589"/>
      <c r="Q123" s="589"/>
      <c r="R123" s="590"/>
      <c r="S123" s="591"/>
      <c r="T123" s="656"/>
      <c r="U123" s="2198"/>
      <c r="V123" s="2198"/>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1930</v>
      </c>
    </row>
    <row r="127" spans="1:83" s="1776" customFormat="1" ht="15" customHeight="1">
      <c r="A127" s="561"/>
      <c r="B127" s="562"/>
      <c r="C127" s="562"/>
      <c r="D127" s="2410" t="s">
        <v>108</v>
      </c>
      <c r="E127" s="2286" t="s">
        <v>104</v>
      </c>
      <c r="F127" s="2287"/>
      <c r="G127" s="2288"/>
      <c r="H127" s="2282" t="str">
        <f>IF(A127="","",INDEX(DIFFERENTIATION_UNMERGE_VD,MATCH(A127,DIFFERENTIATION_ID_DIFF,0)))</f>
        <v/>
      </c>
      <c r="I127" s="2282"/>
      <c r="J127" s="2282"/>
      <c r="K127" s="2282"/>
      <c r="L127" s="2282"/>
      <c r="M127" s="2282"/>
      <c r="N127" s="2282"/>
      <c r="O127" s="2282"/>
      <c r="P127" s="2282"/>
      <c r="Q127" s="2282"/>
      <c r="R127" s="2282"/>
      <c r="S127" s="657"/>
      <c r="T127" s="654"/>
      <c r="U127" s="563"/>
      <c r="V127" s="563"/>
      <c r="W127" s="564"/>
      <c r="X127" s="564"/>
      <c r="Y127" s="564"/>
      <c r="Z127" s="564"/>
      <c r="AA127" s="565"/>
      <c r="AB127" s="566"/>
      <c r="AC127" s="2285"/>
      <c r="AD127" s="567"/>
      <c r="AE127" s="568" t="s">
        <v>22</v>
      </c>
      <c r="AF127" s="568"/>
      <c r="AG127" s="569" t="s">
        <v>607</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411"/>
      <c r="E128" s="2286" t="s">
        <v>562</v>
      </c>
      <c r="F128" s="2287"/>
      <c r="G128" s="2288"/>
      <c r="H128" s="2282" t="str">
        <f>IF(A127="","",INDEX(DIFFERENTIATION_UNMERGE_AREA,MATCH(A127,DIFFERENTIATION_ID_DIFF,0)))</f>
        <v/>
      </c>
      <c r="I128" s="2282"/>
      <c r="J128" s="2282"/>
      <c r="K128" s="2282"/>
      <c r="L128" s="2282"/>
      <c r="M128" s="2282"/>
      <c r="N128" s="2282"/>
      <c r="O128" s="2282"/>
      <c r="P128" s="2282"/>
      <c r="Q128" s="2282"/>
      <c r="R128" s="2282"/>
      <c r="S128" s="657"/>
      <c r="T128" s="654"/>
      <c r="U128" s="563"/>
      <c r="V128" s="563"/>
      <c r="W128" s="564"/>
      <c r="X128" s="564"/>
      <c r="Y128" s="564"/>
      <c r="Z128" s="564"/>
      <c r="AA128" s="565"/>
      <c r="AB128" s="566"/>
      <c r="AC128" s="2285"/>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411"/>
      <c r="E129" s="2286" t="s">
        <v>563</v>
      </c>
      <c r="F129" s="2287"/>
      <c r="G129" s="2288"/>
      <c r="H129" s="2282" t="str">
        <f>IF(A127="","",INDEX(DIFFERENTIATION_UNMERGE_SYSTEM,MATCH(A127,DIFFERENTIATION_ID_DIFF,0)))</f>
        <v/>
      </c>
      <c r="I129" s="2282"/>
      <c r="J129" s="2282"/>
      <c r="K129" s="2282"/>
      <c r="L129" s="2282"/>
      <c r="M129" s="2282"/>
      <c r="N129" s="2282"/>
      <c r="O129" s="2282"/>
      <c r="P129" s="2282"/>
      <c r="Q129" s="2282"/>
      <c r="R129" s="2282"/>
      <c r="S129" s="657"/>
      <c r="T129" s="654"/>
      <c r="U129" s="563"/>
      <c r="V129" s="563"/>
      <c r="W129" s="564"/>
      <c r="X129" s="564"/>
      <c r="Y129" s="564"/>
      <c r="Z129" s="564"/>
      <c r="AA129" s="565"/>
      <c r="AB129" s="566"/>
      <c r="AC129" s="2285"/>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411"/>
      <c r="E130" s="2284" t="s">
        <v>608</v>
      </c>
      <c r="F130" s="2284"/>
      <c r="G130" s="2284"/>
      <c r="H130" s="2284"/>
      <c r="I130" s="2284"/>
      <c r="J130" s="2284"/>
      <c r="K130" s="2284"/>
      <c r="L130" s="2284"/>
      <c r="M130" s="2284"/>
      <c r="N130" s="2284"/>
      <c r="O130" s="2284"/>
      <c r="P130" s="2284"/>
      <c r="Q130" s="496">
        <f>SUMIF(T131:T132,"i",Q131:Q132)</f>
        <v>0</v>
      </c>
      <c r="R130" s="948"/>
      <c r="S130" s="1725" t="s">
        <v>609</v>
      </c>
      <c r="T130" s="655" t="s">
        <v>610</v>
      </c>
      <c r="U130" s="2198">
        <v>1</v>
      </c>
      <c r="V130" s="2198" t="s">
        <v>573</v>
      </c>
      <c r="W130" s="1088"/>
      <c r="X130" s="1088"/>
      <c r="Y130" s="1088"/>
      <c r="Z130" s="1088"/>
      <c r="AA130" s="1564"/>
      <c r="AB130" s="1088"/>
      <c r="AC130" s="2285"/>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411"/>
      <c r="E131" s="573"/>
      <c r="F131" s="573">
        <v>0</v>
      </c>
      <c r="G131" s="573"/>
      <c r="H131" s="573"/>
      <c r="I131" s="573"/>
      <c r="J131" s="573"/>
      <c r="K131" s="573"/>
      <c r="L131" s="573"/>
      <c r="M131" s="573"/>
      <c r="N131" s="573"/>
      <c r="O131" s="573"/>
      <c r="P131" s="573"/>
      <c r="Q131" s="573"/>
      <c r="R131" s="573"/>
      <c r="S131" s="574"/>
      <c r="T131" s="656"/>
      <c r="U131" s="2198"/>
      <c r="V131" s="2198"/>
      <c r="W131" s="1564"/>
      <c r="X131" s="1564"/>
      <c r="Y131" s="1564"/>
      <c r="Z131" s="1564"/>
      <c r="AA131" s="1564"/>
      <c r="AB131" s="1088"/>
      <c r="AC131" s="2285"/>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411"/>
      <c r="E132" s="587" t="s">
        <v>22</v>
      </c>
      <c r="F132" s="1096" t="s">
        <v>22</v>
      </c>
      <c r="G132" s="1096" t="s">
        <v>1929</v>
      </c>
      <c r="H132" s="589" t="s">
        <v>22</v>
      </c>
      <c r="I132" s="589"/>
      <c r="J132" s="589"/>
      <c r="K132" s="589"/>
      <c r="L132" s="589"/>
      <c r="M132" s="589"/>
      <c r="N132" s="589"/>
      <c r="O132" s="589"/>
      <c r="P132" s="589"/>
      <c r="Q132" s="589"/>
      <c r="R132" s="590"/>
      <c r="S132" s="591"/>
      <c r="T132" s="656"/>
      <c r="U132" s="2198"/>
      <c r="V132" s="2198"/>
      <c r="W132" s="1088"/>
      <c r="X132" s="1088"/>
      <c r="Y132" s="1088"/>
      <c r="Z132" s="1088"/>
      <c r="AA132" s="1564"/>
      <c r="AB132" s="1088"/>
      <c r="AC132" s="2285"/>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411"/>
      <c r="E133" s="970"/>
      <c r="F133" s="970"/>
      <c r="G133" s="970"/>
      <c r="H133" s="970"/>
      <c r="I133" s="970"/>
      <c r="J133" s="970"/>
      <c r="K133" s="970"/>
      <c r="L133" s="970"/>
      <c r="M133" s="970"/>
      <c r="N133" s="970"/>
      <c r="O133" s="970"/>
      <c r="P133" s="970"/>
      <c r="Q133" s="971"/>
      <c r="R133" s="972"/>
      <c r="S133" s="973"/>
      <c r="T133" s="655" t="s">
        <v>610</v>
      </c>
      <c r="U133" s="2198">
        <v>1</v>
      </c>
      <c r="V133" s="2198" t="s">
        <v>573</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411"/>
      <c r="E134" s="573"/>
      <c r="F134" s="573"/>
      <c r="G134" s="573"/>
      <c r="H134" s="573"/>
      <c r="I134" s="573"/>
      <c r="J134" s="573"/>
      <c r="K134" s="573"/>
      <c r="L134" s="573"/>
      <c r="M134" s="573"/>
      <c r="N134" s="573"/>
      <c r="O134" s="573"/>
      <c r="P134" s="573"/>
      <c r="Q134" s="573"/>
      <c r="R134" s="573"/>
      <c r="S134" s="574"/>
      <c r="T134" s="656"/>
      <c r="U134" s="2198"/>
      <c r="V134" s="2198"/>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412"/>
      <c r="E135" s="974"/>
      <c r="F135" s="975"/>
      <c r="G135" s="975"/>
      <c r="H135" s="976"/>
      <c r="I135" s="976"/>
      <c r="J135" s="976"/>
      <c r="K135" s="976"/>
      <c r="L135" s="976"/>
      <c r="M135" s="976"/>
      <c r="N135" s="976"/>
      <c r="O135" s="976"/>
      <c r="P135" s="976"/>
      <c r="Q135" s="976"/>
      <c r="R135" s="877"/>
      <c r="S135" s="977"/>
      <c r="T135" s="656"/>
      <c r="U135" s="2198"/>
      <c r="V135" s="2198"/>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1931</v>
      </c>
    </row>
    <row r="139" spans="1:83" s="1776" customFormat="1" ht="45" customHeight="1">
      <c r="A139" s="1733"/>
      <c r="B139" s="1088"/>
      <c r="C139" s="350"/>
      <c r="D139" s="29"/>
      <c r="E139" s="2415"/>
      <c r="F139" s="2077" t="s">
        <v>108</v>
      </c>
      <c r="G139" s="2418" t="s">
        <v>22</v>
      </c>
      <c r="H139" s="227"/>
      <c r="I139" s="575" t="s">
        <v>108</v>
      </c>
      <c r="J139" s="1734" t="s">
        <v>1932</v>
      </c>
      <c r="K139" s="576" t="s">
        <v>544</v>
      </c>
      <c r="L139" s="2161" t="s">
        <v>544</v>
      </c>
      <c r="M139" s="2123"/>
      <c r="N139" s="576" t="s">
        <v>544</v>
      </c>
      <c r="O139" s="576" t="s">
        <v>544</v>
      </c>
      <c r="P139" s="576" t="s">
        <v>544</v>
      </c>
      <c r="Q139" s="577">
        <f>SUM(Q140:Q142)</f>
        <v>0</v>
      </c>
      <c r="R139" s="577">
        <f>IF(R136=0,0,(Q136/R136)*100)</f>
        <v>0</v>
      </c>
      <c r="S139" s="2135"/>
      <c r="T139" s="655" t="s">
        <v>610</v>
      </c>
      <c r="U139" s="29"/>
      <c r="V139" s="29"/>
      <c r="AC139" s="29"/>
    </row>
    <row r="140" spans="1:83" s="1776" customFormat="1" ht="11.25" customHeight="1">
      <c r="A140" s="1733"/>
      <c r="B140" s="1088"/>
      <c r="C140" s="350"/>
      <c r="D140" s="29"/>
      <c r="E140" s="2416"/>
      <c r="F140" s="2077"/>
      <c r="G140" s="2418"/>
      <c r="H140" s="2066"/>
      <c r="I140" s="2345" t="s">
        <v>1020</v>
      </c>
      <c r="J140" s="2413"/>
      <c r="K140" s="2414"/>
      <c r="L140" s="578"/>
      <c r="M140" s="579" t="s">
        <v>108</v>
      </c>
      <c r="N140" s="1722"/>
      <c r="O140" s="580"/>
      <c r="P140" s="581"/>
      <c r="Q140" s="580"/>
      <c r="R140" s="582">
        <v>0</v>
      </c>
      <c r="S140" s="2135"/>
      <c r="T140" s="655"/>
      <c r="U140" s="29"/>
      <c r="V140" s="29"/>
      <c r="AC140" s="29"/>
    </row>
    <row r="141" spans="1:83" s="1776" customFormat="1" ht="11.25" customHeight="1">
      <c r="A141" s="1733"/>
      <c r="B141" s="1088"/>
      <c r="C141" s="350"/>
      <c r="D141" s="29"/>
      <c r="E141" s="2416"/>
      <c r="F141" s="2077"/>
      <c r="G141" s="2418"/>
      <c r="H141" s="2066"/>
      <c r="I141" s="2345"/>
      <c r="J141" s="2413"/>
      <c r="K141" s="2407"/>
      <c r="L141" s="583"/>
      <c r="M141" s="584"/>
      <c r="N141" s="585" t="s">
        <v>1933</v>
      </c>
      <c r="O141" s="585"/>
      <c r="P141" s="585"/>
      <c r="Q141" s="585"/>
      <c r="R141" s="586"/>
      <c r="S141" s="2135"/>
      <c r="T141" s="655"/>
      <c r="U141" s="29"/>
      <c r="V141" s="29"/>
      <c r="AC141" s="29"/>
    </row>
    <row r="142" spans="1:83" s="1776" customFormat="1" ht="11.25" customHeight="1">
      <c r="A142" s="1733"/>
      <c r="B142" s="1088"/>
      <c r="C142" s="350"/>
      <c r="D142" s="29"/>
      <c r="E142" s="2417"/>
      <c r="F142" s="2077"/>
      <c r="G142" s="2419"/>
      <c r="H142" s="583" t="s">
        <v>22</v>
      </c>
      <c r="I142" s="584"/>
      <c r="J142" s="585" t="s">
        <v>1934</v>
      </c>
      <c r="K142" s="585"/>
      <c r="L142" s="585"/>
      <c r="M142" s="585"/>
      <c r="N142" s="585"/>
      <c r="O142" s="585"/>
      <c r="P142" s="585"/>
      <c r="Q142" s="585"/>
      <c r="R142" s="586"/>
      <c r="S142" s="2135"/>
      <c r="T142" s="655"/>
      <c r="U142" s="29"/>
      <c r="V142" s="29"/>
      <c r="AC142" s="29"/>
    </row>
    <row r="147" spans="1:43" s="1776" customFormat="1" ht="11.25" customHeight="1">
      <c r="A147" s="1733"/>
      <c r="B147" s="1088"/>
      <c r="C147" s="350"/>
      <c r="D147" s="29"/>
      <c r="E147" s="1756"/>
      <c r="F147" s="1756"/>
      <c r="G147" s="1756"/>
      <c r="H147" s="2066"/>
      <c r="I147" s="2345" t="s">
        <v>1020</v>
      </c>
      <c r="J147" s="2413"/>
      <c r="K147" s="2414"/>
      <c r="L147" s="578"/>
      <c r="M147" s="579" t="s">
        <v>108</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066"/>
      <c r="I148" s="2345"/>
      <c r="J148" s="2413"/>
      <c r="K148" s="2407"/>
      <c r="L148" s="583"/>
      <c r="M148" s="584"/>
      <c r="N148" s="585" t="s">
        <v>1933</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108</v>
      </c>
      <c r="N150" s="1722"/>
      <c r="O150" s="580"/>
      <c r="P150" s="581"/>
      <c r="Q150" s="580"/>
      <c r="R150" s="582">
        <v>0</v>
      </c>
      <c r="S150" s="29"/>
      <c r="T150" s="655"/>
      <c r="U150" s="29"/>
      <c r="V150" s="29"/>
      <c r="AC150" s="29"/>
    </row>
    <row r="152" spans="1:43" s="1742" customFormat="1" ht="17.25" customHeight="1">
      <c r="A152" s="1742" t="s">
        <v>1935</v>
      </c>
    </row>
    <row r="153" spans="1:43" ht="17.25" customHeight="1">
      <c r="G153" s="1765"/>
      <c r="H153" s="1765"/>
      <c r="I153" s="1765"/>
      <c r="M153" s="1761"/>
    </row>
    <row r="154" spans="1:43" s="1779" customFormat="1" ht="17.25" customHeight="1">
      <c r="A154" s="1766"/>
      <c r="C154" s="1768"/>
      <c r="D154" s="2404"/>
      <c r="E154" s="2088"/>
      <c r="F154" s="2101"/>
      <c r="G154" s="2408"/>
      <c r="H154" s="2404"/>
      <c r="I154" s="2404">
        <v>1</v>
      </c>
      <c r="J154" s="2422"/>
      <c r="K154" s="2138" t="s">
        <v>65</v>
      </c>
      <c r="L154" s="2077"/>
      <c r="M154" s="2077" t="s">
        <v>108</v>
      </c>
      <c r="N154" s="2420" t="str">
        <f>IF(Z154="","",INDEX(TERRITORY_MR_LIST,MATCH(Z154,TERRITORY_LIST_ID,0)))</f>
        <v/>
      </c>
      <c r="O154" s="2138" t="s">
        <v>65</v>
      </c>
      <c r="P154" s="2077"/>
      <c r="Q154" s="2077" t="s">
        <v>108</v>
      </c>
      <c r="R154" s="2407" t="s">
        <v>22</v>
      </c>
      <c r="S154" s="2076" t="s">
        <v>65</v>
      </c>
      <c r="T154" s="1738"/>
      <c r="U154" s="1738" t="s">
        <v>108</v>
      </c>
      <c r="V154" s="1769" t="s">
        <v>22</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404"/>
      <c r="E155" s="2088"/>
      <c r="F155" s="2102"/>
      <c r="G155" s="2408"/>
      <c r="H155" s="2404"/>
      <c r="I155" s="2404"/>
      <c r="J155" s="2422"/>
      <c r="K155" s="2139"/>
      <c r="L155" s="2077"/>
      <c r="M155" s="2077"/>
      <c r="N155" s="2420"/>
      <c r="O155" s="2139"/>
      <c r="P155" s="2077"/>
      <c r="Q155" s="2077"/>
      <c r="R155" s="2407"/>
      <c r="S155" s="2076"/>
      <c r="T155" s="255"/>
      <c r="U155" s="256"/>
      <c r="V155" s="256" t="s">
        <v>412</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100"/>
      <c r="E156" s="2089"/>
      <c r="F156" s="2102"/>
      <c r="G156" s="2409"/>
      <c r="H156" s="2100"/>
      <c r="I156" s="2100"/>
      <c r="J156" s="2423"/>
      <c r="K156" s="2139"/>
      <c r="L156" s="2100"/>
      <c r="M156" s="2100"/>
      <c r="N156" s="2421"/>
      <c r="O156" s="2081"/>
      <c r="P156" s="255"/>
      <c r="Q156" s="256"/>
      <c r="R156" s="256" t="s">
        <v>413</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100"/>
      <c r="E157" s="2089"/>
      <c r="F157" s="2102"/>
      <c r="G157" s="2409"/>
      <c r="H157" s="2100"/>
      <c r="I157" s="2100"/>
      <c r="J157" s="2423"/>
      <c r="K157" s="2081"/>
      <c r="L157" s="255"/>
      <c r="M157" s="256"/>
      <c r="N157" s="256" t="s">
        <v>414</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100"/>
      <c r="E158" s="2089"/>
      <c r="F158" s="2103"/>
      <c r="G158" s="2409"/>
      <c r="H158" s="255"/>
      <c r="I158" s="256"/>
      <c r="J158" s="256" t="s">
        <v>446</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404"/>
      <c r="I160" s="2404">
        <v>1</v>
      </c>
      <c r="J160" s="2422"/>
      <c r="K160" s="2138" t="s">
        <v>65</v>
      </c>
      <c r="L160" s="2077"/>
      <c r="M160" s="2077" t="s">
        <v>108</v>
      </c>
      <c r="N160" s="2420" t="str">
        <f>IF(Z160="","",INDEX(TERRITORY_MR_LIST,MATCH(Z160,TERRITORY_LIST_ID,0)))</f>
        <v/>
      </c>
      <c r="O160" s="2138" t="s">
        <v>65</v>
      </c>
      <c r="P160" s="2077"/>
      <c r="Q160" s="2077" t="s">
        <v>108</v>
      </c>
      <c r="R160" s="2407" t="s">
        <v>22</v>
      </c>
      <c r="S160" s="2076" t="s">
        <v>65</v>
      </c>
      <c r="T160" s="1738"/>
      <c r="U160" s="1738" t="s">
        <v>108</v>
      </c>
      <c r="V160" s="1769" t="s">
        <v>22</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404"/>
      <c r="I161" s="2404"/>
      <c r="J161" s="2422"/>
      <c r="K161" s="2139"/>
      <c r="L161" s="2077"/>
      <c r="M161" s="2077"/>
      <c r="N161" s="2420"/>
      <c r="O161" s="2139"/>
      <c r="P161" s="2077"/>
      <c r="Q161" s="2077"/>
      <c r="R161" s="2407"/>
      <c r="S161" s="2076"/>
      <c r="T161" s="255"/>
      <c r="U161" s="256"/>
      <c r="V161" s="256" t="s">
        <v>412</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100"/>
      <c r="I162" s="2100"/>
      <c r="J162" s="2423"/>
      <c r="K162" s="2139"/>
      <c r="L162" s="2100"/>
      <c r="M162" s="2100"/>
      <c r="N162" s="2421"/>
      <c r="O162" s="2081"/>
      <c r="P162" s="255"/>
      <c r="Q162" s="256"/>
      <c r="R162" s="256" t="s">
        <v>413</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100"/>
      <c r="I163" s="2100"/>
      <c r="J163" s="2423"/>
      <c r="K163" s="2081"/>
      <c r="L163" s="255"/>
      <c r="M163" s="256"/>
      <c r="N163" s="256" t="s">
        <v>414</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77"/>
      <c r="M165" s="2077" t="s">
        <v>108</v>
      </c>
      <c r="N165" s="2420" t="str">
        <f>IF(Z165="","",INDEX(TERRITORY_MR_LIST,MATCH(Z165,TERRITORY_LIST_ID,0)))</f>
        <v/>
      </c>
      <c r="O165" s="2138" t="s">
        <v>65</v>
      </c>
      <c r="P165" s="2077"/>
      <c r="Q165" s="2077" t="s">
        <v>108</v>
      </c>
      <c r="R165" s="2407" t="s">
        <v>22</v>
      </c>
      <c r="S165" s="2076" t="s">
        <v>65</v>
      </c>
      <c r="T165" s="1738"/>
      <c r="U165" s="1738" t="s">
        <v>108</v>
      </c>
      <c r="V165" s="1769" t="s">
        <v>22</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077"/>
      <c r="M166" s="2077"/>
      <c r="N166" s="2420"/>
      <c r="O166" s="2139"/>
      <c r="P166" s="2077"/>
      <c r="Q166" s="2077"/>
      <c r="R166" s="2407"/>
      <c r="S166" s="2076"/>
      <c r="T166" s="255"/>
      <c r="U166" s="256"/>
      <c r="V166" s="256" t="s">
        <v>412</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100"/>
      <c r="M167" s="2100"/>
      <c r="N167" s="2421"/>
      <c r="O167" s="2081"/>
      <c r="P167" s="255"/>
      <c r="Q167" s="256"/>
      <c r="R167" s="256" t="s">
        <v>413</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77"/>
      <c r="Q169" s="2077" t="s">
        <v>108</v>
      </c>
      <c r="R169" s="2407" t="s">
        <v>22</v>
      </c>
      <c r="S169" s="2076" t="s">
        <v>65</v>
      </c>
      <c r="T169" s="1738"/>
      <c r="U169" s="1738" t="s">
        <v>108</v>
      </c>
      <c r="V169" s="1769" t="s">
        <v>22</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077"/>
      <c r="Q170" s="2077"/>
      <c r="R170" s="2407"/>
      <c r="S170" s="2076"/>
      <c r="T170" s="255"/>
      <c r="U170" s="256"/>
      <c r="V170" s="256" t="s">
        <v>412</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1936</v>
      </c>
    </row>
    <row r="175" spans="1:43" ht="17.25" customHeight="1">
      <c r="G175" s="1765"/>
      <c r="H175" s="1765"/>
      <c r="I175" s="1765"/>
      <c r="M175" s="1761"/>
    </row>
    <row r="176" spans="1:43" s="1779" customFormat="1" ht="17.25" customHeight="1">
      <c r="A176" s="1766"/>
      <c r="C176" s="1768"/>
      <c r="D176" s="2404"/>
      <c r="E176" s="2088"/>
      <c r="F176" s="2101"/>
      <c r="G176" s="2408"/>
      <c r="H176" s="2404"/>
      <c r="I176" s="2404">
        <v>1</v>
      </c>
      <c r="J176" s="2422"/>
      <c r="K176" s="2138" t="s">
        <v>65</v>
      </c>
      <c r="L176" s="2077"/>
      <c r="M176" s="2077" t="s">
        <v>108</v>
      </c>
      <c r="N176" s="2420" t="str">
        <f>IF(Z176="","",INDEX(TERRITORY_MR_LIST,MATCH(Z176,TERRITORY_LIST_ID,0)))</f>
        <v/>
      </c>
      <c r="O176" s="2138" t="s">
        <v>65</v>
      </c>
      <c r="P176" s="2077"/>
      <c r="Q176" s="2077" t="s">
        <v>108</v>
      </c>
      <c r="R176" s="2407" t="s">
        <v>22</v>
      </c>
      <c r="S176" s="2308" t="s">
        <v>19</v>
      </c>
      <c r="T176" s="1729"/>
      <c r="U176" s="1729" t="s">
        <v>108</v>
      </c>
      <c r="V176" s="1362"/>
      <c r="W176" s="2422"/>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404"/>
      <c r="E177" s="2088"/>
      <c r="F177" s="2102"/>
      <c r="G177" s="2408"/>
      <c r="H177" s="2404"/>
      <c r="I177" s="2404"/>
      <c r="J177" s="2422"/>
      <c r="K177" s="2139"/>
      <c r="L177" s="2077"/>
      <c r="M177" s="2077"/>
      <c r="N177" s="2420"/>
      <c r="O177" s="2139"/>
      <c r="P177" s="2077"/>
      <c r="Q177" s="2077"/>
      <c r="R177" s="2407"/>
      <c r="S177" s="2308"/>
      <c r="T177" s="1363"/>
      <c r="U177" s="1364"/>
      <c r="V177" s="1364"/>
      <c r="W177" s="2422"/>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100"/>
      <c r="E178" s="2089"/>
      <c r="F178" s="2102"/>
      <c r="G178" s="2409"/>
      <c r="H178" s="2100"/>
      <c r="I178" s="2100"/>
      <c r="J178" s="2423"/>
      <c r="K178" s="2139"/>
      <c r="L178" s="2100"/>
      <c r="M178" s="2100"/>
      <c r="N178" s="2421"/>
      <c r="O178" s="2081"/>
      <c r="P178" s="255"/>
      <c r="Q178" s="256"/>
      <c r="R178" s="256" t="s">
        <v>413</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100"/>
      <c r="E179" s="2089"/>
      <c r="F179" s="2102"/>
      <c r="G179" s="2409"/>
      <c r="H179" s="2100"/>
      <c r="I179" s="2100"/>
      <c r="J179" s="2423"/>
      <c r="K179" s="2081"/>
      <c r="L179" s="255"/>
      <c r="M179" s="256"/>
      <c r="N179" s="256" t="s">
        <v>414</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100"/>
      <c r="E180" s="2089"/>
      <c r="F180" s="2103"/>
      <c r="G180" s="2409"/>
      <c r="H180" s="255"/>
      <c r="I180" s="256"/>
      <c r="J180" s="256" t="s">
        <v>446</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404"/>
      <c r="I182" s="2404">
        <v>1</v>
      </c>
      <c r="J182" s="2422"/>
      <c r="K182" s="2138" t="s">
        <v>65</v>
      </c>
      <c r="L182" s="2077"/>
      <c r="M182" s="2077" t="s">
        <v>108</v>
      </c>
      <c r="N182" s="2420" t="str">
        <f>IF(Z182="","",INDEX(TERRITORY_MR_LIST,MATCH(Z182,TERRITORY_LIST_ID,0)))</f>
        <v/>
      </c>
      <c r="O182" s="2138" t="s">
        <v>65</v>
      </c>
      <c r="P182" s="2077"/>
      <c r="Q182" s="2077" t="s">
        <v>108</v>
      </c>
      <c r="R182" s="2407" t="s">
        <v>22</v>
      </c>
      <c r="S182" s="2308" t="s">
        <v>19</v>
      </c>
      <c r="T182" s="1729"/>
      <c r="U182" s="1729" t="s">
        <v>108</v>
      </c>
      <c r="V182" s="1362"/>
      <c r="W182" s="2422"/>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404"/>
      <c r="I183" s="2404"/>
      <c r="J183" s="2422"/>
      <c r="K183" s="2139"/>
      <c r="L183" s="2077"/>
      <c r="M183" s="2077"/>
      <c r="N183" s="2420"/>
      <c r="O183" s="2139"/>
      <c r="P183" s="2077"/>
      <c r="Q183" s="2077"/>
      <c r="R183" s="2407"/>
      <c r="S183" s="2308"/>
      <c r="T183" s="1363"/>
      <c r="U183" s="1364"/>
      <c r="V183" s="1364"/>
      <c r="W183" s="2422"/>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100"/>
      <c r="I184" s="2100"/>
      <c r="J184" s="2423"/>
      <c r="K184" s="2139"/>
      <c r="L184" s="2100"/>
      <c r="M184" s="2100"/>
      <c r="N184" s="2421"/>
      <c r="O184" s="2081"/>
      <c r="P184" s="255"/>
      <c r="Q184" s="256"/>
      <c r="R184" s="256" t="s">
        <v>413</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100"/>
      <c r="I185" s="2100"/>
      <c r="J185" s="2423"/>
      <c r="K185" s="2081"/>
      <c r="L185" s="255"/>
      <c r="M185" s="256"/>
      <c r="N185" s="256" t="s">
        <v>414</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077"/>
      <c r="M187" s="2077" t="s">
        <v>108</v>
      </c>
      <c r="N187" s="2420" t="str">
        <f>IF(Z187="","",INDEX(TERRITORY_MR_LIST,MATCH(Z187,TERRITORY_LIST_ID,0)))</f>
        <v/>
      </c>
      <c r="O187" s="2138" t="s">
        <v>65</v>
      </c>
      <c r="P187" s="2077"/>
      <c r="Q187" s="2077" t="s">
        <v>108</v>
      </c>
      <c r="R187" s="2407" t="s">
        <v>22</v>
      </c>
      <c r="S187" s="2308" t="s">
        <v>19</v>
      </c>
      <c r="T187" s="1729"/>
      <c r="U187" s="1729" t="s">
        <v>108</v>
      </c>
      <c r="V187" s="1362"/>
      <c r="W187" s="2422"/>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077"/>
      <c r="M188" s="2077"/>
      <c r="N188" s="2420"/>
      <c r="O188" s="2139"/>
      <c r="P188" s="2077"/>
      <c r="Q188" s="2077"/>
      <c r="R188" s="2407"/>
      <c r="S188" s="2308"/>
      <c r="T188" s="1363"/>
      <c r="U188" s="1364"/>
      <c r="V188" s="1364"/>
      <c r="W188" s="2422"/>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100"/>
      <c r="M189" s="2100"/>
      <c r="N189" s="2421"/>
      <c r="O189" s="2081"/>
      <c r="P189" s="255"/>
      <c r="Q189" s="256"/>
      <c r="R189" s="256" t="s">
        <v>413</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77"/>
      <c r="Q191" s="2077" t="s">
        <v>108</v>
      </c>
      <c r="R191" s="2407" t="s">
        <v>22</v>
      </c>
      <c r="S191" s="2308" t="s">
        <v>19</v>
      </c>
      <c r="T191" s="1729"/>
      <c r="U191" s="1729" t="s">
        <v>108</v>
      </c>
      <c r="V191" s="1362"/>
      <c r="W191" s="2422"/>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077"/>
      <c r="Q192" s="2077"/>
      <c r="R192" s="2407"/>
      <c r="S192" s="2308"/>
      <c r="T192" s="1363"/>
      <c r="U192" s="1364"/>
      <c r="V192" s="1364"/>
      <c r="W192" s="2422"/>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404"/>
      <c r="E194" s="2135"/>
      <c r="F194" s="2135"/>
      <c r="G194" s="2066"/>
      <c r="H194" s="2090"/>
      <c r="I194" s="2092"/>
      <c r="J194" s="2094"/>
      <c r="K194" s="2086"/>
      <c r="L194" s="2086"/>
      <c r="M194" s="2086"/>
      <c r="N194" s="2097"/>
      <c r="O194" s="2086"/>
      <c r="P194" s="2086"/>
      <c r="Q194" s="2086"/>
      <c r="R194" s="2084"/>
      <c r="S194" s="2086"/>
      <c r="T194" s="1710"/>
      <c r="U194" s="1710"/>
      <c r="V194" s="1778"/>
      <c r="W194" s="1224"/>
    </row>
    <row r="195" spans="1:63" ht="16.5" customHeight="1">
      <c r="A195" s="1766"/>
      <c r="B195" s="1767"/>
      <c r="C195" s="1771"/>
      <c r="D195" s="2404"/>
      <c r="E195" s="2135"/>
      <c r="F195" s="2135"/>
      <c r="G195" s="2066"/>
      <c r="H195" s="2091"/>
      <c r="I195" s="2093"/>
      <c r="J195" s="2095"/>
      <c r="K195" s="2087"/>
      <c r="L195" s="2087"/>
      <c r="M195" s="2087"/>
      <c r="N195" s="2098"/>
      <c r="O195" s="2087"/>
      <c r="P195" s="2087"/>
      <c r="Q195" s="2087"/>
      <c r="R195" s="2085"/>
      <c r="S195" s="2087"/>
      <c r="T195" s="1225"/>
      <c r="U195" s="1225"/>
      <c r="V195" s="1225"/>
      <c r="W195" s="1226"/>
    </row>
    <row r="196" spans="1:63" ht="17.25" customHeight="1">
      <c r="A196" s="1766"/>
      <c r="B196" s="1767"/>
      <c r="C196" s="1771"/>
      <c r="D196" s="2404"/>
      <c r="E196" s="2135"/>
      <c r="F196" s="2135"/>
      <c r="G196" s="2066"/>
      <c r="H196" s="2091"/>
      <c r="I196" s="2093"/>
      <c r="J196" s="2096"/>
      <c r="K196" s="2087"/>
      <c r="L196" s="2087"/>
      <c r="M196" s="2087"/>
      <c r="N196" s="2085"/>
      <c r="O196" s="2087"/>
      <c r="P196" s="1713"/>
      <c r="Q196" s="1225"/>
      <c r="R196" s="1225"/>
      <c r="S196" s="1779"/>
      <c r="T196" s="1779"/>
      <c r="U196" s="1779"/>
      <c r="V196" s="1779"/>
      <c r="W196" s="1226"/>
    </row>
    <row r="197" spans="1:63" ht="17.25" customHeight="1">
      <c r="A197" s="1766"/>
      <c r="B197" s="1767"/>
      <c r="C197" s="1771"/>
      <c r="D197" s="2404"/>
      <c r="E197" s="2135"/>
      <c r="F197" s="2135"/>
      <c r="G197" s="2066"/>
      <c r="H197" s="2091"/>
      <c r="I197" s="2093"/>
      <c r="J197" s="2096"/>
      <c r="K197" s="2087"/>
      <c r="L197" s="1225"/>
      <c r="M197" s="1225"/>
      <c r="N197" s="1225"/>
      <c r="O197" s="1225"/>
      <c r="P197" s="1225"/>
      <c r="Q197" s="1225"/>
      <c r="R197" s="1225"/>
      <c r="S197" s="1779"/>
      <c r="T197" s="1779"/>
      <c r="U197" s="1779"/>
      <c r="V197" s="1779"/>
      <c r="W197" s="1226"/>
    </row>
    <row r="198" spans="1:63" ht="17.25" customHeight="1">
      <c r="A198" s="1766"/>
      <c r="B198" s="1767"/>
      <c r="C198" s="1771"/>
      <c r="D198" s="2404"/>
      <c r="E198" s="2135"/>
      <c r="F198" s="2135"/>
      <c r="G198" s="2066"/>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1937</v>
      </c>
    </row>
    <row r="201" spans="1:63" ht="17.25" customHeight="1">
      <c r="G201" s="1765"/>
      <c r="H201" s="1765"/>
      <c r="I201" s="1765"/>
      <c r="M201" s="1761"/>
    </row>
    <row r="202" spans="1:63" s="1776" customFormat="1" ht="15" customHeight="1">
      <c r="D202" s="2446"/>
      <c r="E202" s="2130"/>
      <c r="F202" s="2130"/>
      <c r="G202" s="2138"/>
      <c r="H202" s="1492"/>
      <c r="I202" s="2447">
        <v>1</v>
      </c>
      <c r="J202" s="2422"/>
      <c r="K202" s="1507"/>
      <c r="L202" s="2138" t="s">
        <v>65</v>
      </c>
      <c r="M202" s="2138" t="s">
        <v>65</v>
      </c>
      <c r="N202" s="1492"/>
      <c r="O202" s="2077" t="s">
        <v>108</v>
      </c>
      <c r="P202" s="2453"/>
      <c r="Q202" s="1508"/>
      <c r="R202" s="2138" t="s">
        <v>65</v>
      </c>
      <c r="S202" s="2138" t="s">
        <v>65</v>
      </c>
      <c r="T202" s="1781"/>
      <c r="U202" s="2077" t="s">
        <v>108</v>
      </c>
      <c r="V202" s="2443" t="str">
        <f>IF(AK202="","",INDEX(TERRITORY_MR_LIST,MATCH(AK202,TERRITORY_LIST_ID,0)))</f>
        <v/>
      </c>
      <c r="W202" s="1509"/>
      <c r="X202" s="2138" t="s">
        <v>65</v>
      </c>
      <c r="Y202" s="2138" t="s">
        <v>19</v>
      </c>
      <c r="Z202" s="1492"/>
      <c r="AA202" s="2077" t="s">
        <v>108</v>
      </c>
      <c r="AB202" s="2445"/>
      <c r="AC202" s="1510"/>
      <c r="AD202" s="2138" t="s">
        <v>65</v>
      </c>
      <c r="AE202" s="2138" t="s">
        <v>19</v>
      </c>
      <c r="AF202" s="1490"/>
      <c r="AG202" s="1738" t="s">
        <v>108</v>
      </c>
      <c r="AH202" s="1500"/>
      <c r="AI202" s="1728"/>
    </row>
    <row r="203" spans="1:63" s="1776" customFormat="1" ht="15" customHeight="1">
      <c r="D203" s="2446"/>
      <c r="E203" s="2130"/>
      <c r="F203" s="2130"/>
      <c r="G203" s="2139"/>
      <c r="H203" s="1492"/>
      <c r="I203" s="2447"/>
      <c r="J203" s="2422"/>
      <c r="K203" s="1491"/>
      <c r="L203" s="2139"/>
      <c r="M203" s="2139"/>
      <c r="N203" s="1492"/>
      <c r="O203" s="2077"/>
      <c r="P203" s="2453"/>
      <c r="Q203" s="1488"/>
      <c r="R203" s="2139"/>
      <c r="S203" s="2139"/>
      <c r="T203" s="1781"/>
      <c r="U203" s="2077"/>
      <c r="V203" s="2444"/>
      <c r="W203" s="1489"/>
      <c r="X203" s="2139"/>
      <c r="Y203" s="2139"/>
      <c r="Z203" s="1492"/>
      <c r="AA203" s="2077"/>
      <c r="AB203" s="2375"/>
      <c r="AC203" s="1493"/>
      <c r="AD203" s="2081"/>
      <c r="AE203" s="2081"/>
      <c r="AF203" s="1494"/>
      <c r="AG203" s="1495"/>
      <c r="AH203" s="2449" t="s">
        <v>1938</v>
      </c>
      <c r="AI203" s="2450"/>
    </row>
    <row r="204" spans="1:63" s="1776" customFormat="1" ht="15" customHeight="1">
      <c r="D204" s="2446"/>
      <c r="E204" s="2130"/>
      <c r="F204" s="2130"/>
      <c r="G204" s="2139"/>
      <c r="H204" s="1492"/>
      <c r="I204" s="2447"/>
      <c r="J204" s="2422"/>
      <c r="K204" s="1491"/>
      <c r="L204" s="2139"/>
      <c r="M204" s="2139"/>
      <c r="N204" s="1492"/>
      <c r="O204" s="2077"/>
      <c r="P204" s="2453"/>
      <c r="Q204" s="1488"/>
      <c r="R204" s="2139"/>
      <c r="S204" s="2139"/>
      <c r="T204" s="1781"/>
      <c r="U204" s="2077"/>
      <c r="V204" s="2444"/>
      <c r="W204" s="1489"/>
      <c r="X204" s="2139"/>
      <c r="Y204" s="2139"/>
      <c r="Z204" s="1531"/>
      <c r="AA204" s="1497"/>
      <c r="AB204" s="2451" t="s">
        <v>1939</v>
      </c>
      <c r="AC204" s="2451"/>
      <c r="AD204" s="2451"/>
      <c r="AE204" s="2451"/>
      <c r="AF204" s="2451"/>
      <c r="AG204" s="2451"/>
      <c r="AH204" s="2451"/>
      <c r="AI204" s="2452"/>
    </row>
    <row r="205" spans="1:63" s="1776" customFormat="1" ht="15" customHeight="1">
      <c r="D205" s="2446"/>
      <c r="E205" s="2130"/>
      <c r="F205" s="2130"/>
      <c r="G205" s="2139"/>
      <c r="H205" s="1492"/>
      <c r="I205" s="2447"/>
      <c r="J205" s="2422"/>
      <c r="K205" s="1491"/>
      <c r="L205" s="2139"/>
      <c r="M205" s="2139"/>
      <c r="N205" s="1492"/>
      <c r="O205" s="2077"/>
      <c r="P205" s="2454"/>
      <c r="Q205" s="1488"/>
      <c r="R205" s="2139"/>
      <c r="S205" s="2139"/>
      <c r="T205" s="1782"/>
      <c r="U205" s="1532"/>
      <c r="V205" s="2449" t="s">
        <v>102</v>
      </c>
      <c r="W205" s="2449"/>
      <c r="X205" s="2449"/>
      <c r="Y205" s="2449"/>
      <c r="Z205" s="2449"/>
      <c r="AA205" s="2449"/>
      <c r="AB205" s="2449"/>
      <c r="AC205" s="2449"/>
      <c r="AD205" s="2449"/>
      <c r="AE205" s="2449"/>
      <c r="AF205" s="2449"/>
      <c r="AG205" s="2449"/>
      <c r="AH205" s="2449"/>
      <c r="AI205" s="2450"/>
    </row>
    <row r="206" spans="1:63" s="1776" customFormat="1" ht="11.25" customHeight="1">
      <c r="D206" s="2446"/>
      <c r="E206" s="2130"/>
      <c r="F206" s="2130"/>
      <c r="G206" s="2139"/>
      <c r="H206" s="1496"/>
      <c r="I206" s="2447"/>
      <c r="J206" s="2448"/>
      <c r="K206" s="1491"/>
      <c r="L206" s="2139"/>
      <c r="M206" s="2139"/>
      <c r="N206" s="1496"/>
      <c r="O206" s="1497"/>
      <c r="P206" s="2449" t="s">
        <v>1940</v>
      </c>
      <c r="Q206" s="2449"/>
      <c r="R206" s="2449"/>
      <c r="S206" s="2449"/>
      <c r="T206" s="2449"/>
      <c r="U206" s="2449"/>
      <c r="V206" s="2449"/>
      <c r="W206" s="2449"/>
      <c r="X206" s="2449"/>
      <c r="Y206" s="2449"/>
      <c r="Z206" s="2449"/>
      <c r="AA206" s="2449"/>
      <c r="AB206" s="2449"/>
      <c r="AC206" s="2449"/>
      <c r="AD206" s="2449"/>
      <c r="AE206" s="2449"/>
      <c r="AF206" s="2449"/>
      <c r="AG206" s="2449"/>
      <c r="AH206" s="2449"/>
      <c r="AI206" s="2450"/>
    </row>
    <row r="207" spans="1:63" s="1482" customFormat="1" ht="11.25" customHeight="1">
      <c r="D207" s="2446"/>
      <c r="E207" s="2130"/>
      <c r="F207" s="2130"/>
      <c r="G207" s="2081"/>
      <c r="H207" s="1498"/>
      <c r="I207" s="1499"/>
      <c r="J207" s="2449" t="s">
        <v>446</v>
      </c>
      <c r="K207" s="2449"/>
      <c r="L207" s="2449"/>
      <c r="M207" s="2449"/>
      <c r="N207" s="2449"/>
      <c r="O207" s="2449"/>
      <c r="P207" s="2449"/>
      <c r="Q207" s="2449"/>
      <c r="R207" s="2449"/>
      <c r="S207" s="2449"/>
      <c r="T207" s="2449"/>
      <c r="U207" s="2449"/>
      <c r="V207" s="2449"/>
      <c r="W207" s="2449"/>
      <c r="X207" s="2449"/>
      <c r="Y207" s="2449"/>
      <c r="Z207" s="2449"/>
      <c r="AA207" s="2449"/>
      <c r="AB207" s="2449"/>
      <c r="AC207" s="2449"/>
      <c r="AD207" s="2449"/>
      <c r="AE207" s="2449"/>
      <c r="AF207" s="2449"/>
      <c r="AG207" s="2449"/>
      <c r="AH207" s="2449"/>
      <c r="AI207" s="2450"/>
      <c r="BK207" s="1502"/>
    </row>
    <row r="208" spans="1:63" ht="17.25" customHeight="1">
      <c r="G208" s="1765"/>
      <c r="I208" s="1765"/>
      <c r="J208" s="1765"/>
      <c r="N208" s="1761"/>
    </row>
    <row r="209" spans="4:63" s="1776" customFormat="1" ht="15" customHeight="1">
      <c r="D209" s="2446"/>
      <c r="E209" s="2130"/>
      <c r="F209" s="2130"/>
      <c r="G209" s="2135"/>
      <c r="H209" s="1527"/>
      <c r="I209" s="2140"/>
      <c r="J209" s="2094"/>
      <c r="K209" s="1712"/>
      <c r="L209" s="2086"/>
      <c r="M209" s="2086"/>
      <c r="N209" s="1512"/>
      <c r="O209" s="2086"/>
      <c r="P209" s="2094"/>
      <c r="Q209" s="1716"/>
      <c r="R209" s="2086"/>
      <c r="S209" s="2086"/>
      <c r="T209" s="1783"/>
      <c r="U209" s="2086"/>
      <c r="V209" s="2094"/>
      <c r="W209" s="1515"/>
      <c r="X209" s="2086"/>
      <c r="Y209" s="2086"/>
      <c r="Z209" s="1512"/>
      <c r="AA209" s="2086"/>
      <c r="AB209" s="2094"/>
      <c r="AC209" s="1516"/>
      <c r="AD209" s="2086"/>
      <c r="AE209" s="2086"/>
      <c r="AF209" s="1710"/>
      <c r="AG209" s="1710"/>
      <c r="AH209" s="1517"/>
      <c r="AI209" s="1224"/>
    </row>
    <row r="210" spans="4:63" s="1776" customFormat="1" ht="15" customHeight="1">
      <c r="D210" s="2446"/>
      <c r="E210" s="2130"/>
      <c r="F210" s="2130"/>
      <c r="G210" s="2135"/>
      <c r="H210" s="1528"/>
      <c r="I210" s="2141"/>
      <c r="J210" s="2095"/>
      <c r="K210" s="1538"/>
      <c r="L210" s="2087"/>
      <c r="M210" s="2087"/>
      <c r="N210" s="1518"/>
      <c r="O210" s="2087"/>
      <c r="P210" s="2095"/>
      <c r="Q210" s="1717"/>
      <c r="R210" s="2087"/>
      <c r="S210" s="2087"/>
      <c r="T210" s="1784"/>
      <c r="U210" s="2087"/>
      <c r="V210" s="2095"/>
      <c r="W210" s="1521"/>
      <c r="X210" s="2087"/>
      <c r="Y210" s="2087"/>
      <c r="Z210" s="1518"/>
      <c r="AA210" s="2087"/>
      <c r="AB210" s="2095"/>
      <c r="AC210" s="1522"/>
      <c r="AD210" s="2087"/>
      <c r="AE210" s="2087"/>
      <c r="AF210" s="1715"/>
      <c r="AG210" s="1715"/>
      <c r="AH210" s="2144"/>
      <c r="AI210" s="2145"/>
    </row>
    <row r="211" spans="4:63" s="1776" customFormat="1" ht="15" customHeight="1">
      <c r="D211" s="2446"/>
      <c r="E211" s="2130"/>
      <c r="F211" s="2130"/>
      <c r="G211" s="2135"/>
      <c r="H211" s="1528"/>
      <c r="I211" s="2141"/>
      <c r="J211" s="2095"/>
      <c r="K211" s="1538"/>
      <c r="L211" s="2087"/>
      <c r="M211" s="2087"/>
      <c r="N211" s="1518"/>
      <c r="O211" s="2087"/>
      <c r="P211" s="2095"/>
      <c r="Q211" s="1717"/>
      <c r="R211" s="2087"/>
      <c r="S211" s="2087"/>
      <c r="T211" s="1784"/>
      <c r="U211" s="2087"/>
      <c r="V211" s="2095"/>
      <c r="W211" s="1521"/>
      <c r="X211" s="2087"/>
      <c r="Y211" s="2087"/>
      <c r="Z211" s="1713"/>
      <c r="AA211" s="1715"/>
      <c r="AB211" s="2144"/>
      <c r="AC211" s="2144"/>
      <c r="AD211" s="2144"/>
      <c r="AE211" s="2144"/>
      <c r="AF211" s="2144"/>
      <c r="AG211" s="2144"/>
      <c r="AH211" s="2144"/>
      <c r="AI211" s="2145"/>
    </row>
    <row r="212" spans="4:63" s="1776" customFormat="1" ht="15" customHeight="1">
      <c r="D212" s="2446"/>
      <c r="E212" s="2130"/>
      <c r="F212" s="2130"/>
      <c r="G212" s="2135"/>
      <c r="H212" s="1528"/>
      <c r="I212" s="2141"/>
      <c r="J212" s="2095"/>
      <c r="K212" s="1538"/>
      <c r="L212" s="2087"/>
      <c r="M212" s="2087"/>
      <c r="N212" s="1518"/>
      <c r="O212" s="2087"/>
      <c r="P212" s="2095"/>
      <c r="Q212" s="1717"/>
      <c r="R212" s="2087"/>
      <c r="S212" s="2087"/>
      <c r="T212" s="1785"/>
      <c r="U212" s="1525"/>
      <c r="V212" s="2144"/>
      <c r="W212" s="2144"/>
      <c r="X212" s="2144"/>
      <c r="Y212" s="2144"/>
      <c r="Z212" s="2144"/>
      <c r="AA212" s="2144"/>
      <c r="AB212" s="2144"/>
      <c r="AC212" s="2144"/>
      <c r="AD212" s="2144"/>
      <c r="AE212" s="2144"/>
      <c r="AF212" s="2144"/>
      <c r="AG212" s="2144"/>
      <c r="AH212" s="2144"/>
      <c r="AI212" s="2145"/>
    </row>
    <row r="213" spans="4:63" s="1776" customFormat="1" ht="11.25" customHeight="1">
      <c r="D213" s="2446"/>
      <c r="E213" s="2130"/>
      <c r="F213" s="2130"/>
      <c r="G213" s="2135"/>
      <c r="H213" s="1529"/>
      <c r="I213" s="2141"/>
      <c r="J213" s="2095"/>
      <c r="K213" s="1538"/>
      <c r="L213" s="2087"/>
      <c r="M213" s="2087"/>
      <c r="N213" s="1715"/>
      <c r="O213" s="1715"/>
      <c r="P213" s="2144"/>
      <c r="Q213" s="2144"/>
      <c r="R213" s="2144"/>
      <c r="S213" s="2144"/>
      <c r="T213" s="2144"/>
      <c r="U213" s="2144"/>
      <c r="V213" s="2144"/>
      <c r="W213" s="2144"/>
      <c r="X213" s="2144"/>
      <c r="Y213" s="2144"/>
      <c r="Z213" s="2144"/>
      <c r="AA213" s="2144"/>
      <c r="AB213" s="2144"/>
      <c r="AC213" s="2144"/>
      <c r="AD213" s="2144"/>
      <c r="AE213" s="2144"/>
      <c r="AF213" s="2144"/>
      <c r="AG213" s="2144"/>
      <c r="AH213" s="2144"/>
      <c r="AI213" s="2145"/>
    </row>
    <row r="214" spans="4:63" s="1482" customFormat="1" ht="11.25" customHeight="1">
      <c r="D214" s="2446"/>
      <c r="E214" s="2130"/>
      <c r="F214" s="2130"/>
      <c r="G214" s="2146"/>
      <c r="H214" s="1526"/>
      <c r="I214" s="1530"/>
      <c r="J214" s="2142"/>
      <c r="K214" s="2142"/>
      <c r="L214" s="2142"/>
      <c r="M214" s="2142"/>
      <c r="N214" s="2142"/>
      <c r="O214" s="2142"/>
      <c r="P214" s="2142"/>
      <c r="Q214" s="2142"/>
      <c r="R214" s="2142"/>
      <c r="S214" s="2142"/>
      <c r="T214" s="2142"/>
      <c r="U214" s="2142"/>
      <c r="V214" s="2142"/>
      <c r="W214" s="2142"/>
      <c r="X214" s="2142"/>
      <c r="Y214" s="2142"/>
      <c r="Z214" s="2142"/>
      <c r="AA214" s="2142"/>
      <c r="AB214" s="2142"/>
      <c r="AC214" s="2142"/>
      <c r="AD214" s="2142"/>
      <c r="AE214" s="2142"/>
      <c r="AF214" s="2142"/>
      <c r="AG214" s="2142"/>
      <c r="AH214" s="2142"/>
      <c r="AI214" s="2143"/>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1941</v>
      </c>
      <c r="B1" s="778"/>
      <c r="C1" s="913" t="s">
        <v>1942</v>
      </c>
      <c r="D1" s="911" t="s">
        <v>806</v>
      </c>
      <c r="E1" s="911" t="s">
        <v>852</v>
      </c>
      <c r="F1" s="911" t="s">
        <v>905</v>
      </c>
      <c r="G1" s="911" t="s">
        <v>892</v>
      </c>
      <c r="H1" s="911" t="s">
        <v>1617</v>
      </c>
    </row>
    <row r="2" spans="1:8" ht="9" customHeight="1">
      <c r="A2" s="914" t="s">
        <v>1943</v>
      </c>
      <c r="B2" s="914"/>
      <c r="C2" s="915" t="str">
        <f>INDEX(TEMPLATE_NUMBER_FORM_LIST,MATCH(TEMPLATE_SPHERE,TEMPLATE_SPHERE_LIST,0))</f>
        <v>10</v>
      </c>
      <c r="D2" s="914" t="s">
        <v>1467</v>
      </c>
      <c r="E2" s="914" t="s">
        <v>149</v>
      </c>
      <c r="F2" s="916" t="s">
        <v>149</v>
      </c>
      <c r="G2" s="914" t="s">
        <v>149</v>
      </c>
      <c r="H2" s="917"/>
    </row>
    <row r="3" spans="1:8" ht="63" customHeight="1">
      <c r="A3" s="778"/>
      <c r="B3" s="778" t="s">
        <v>108</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5" t="s">
        <v>1944</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6"/>
      <c r="G3" s="917"/>
      <c r="H3" s="778"/>
    </row>
    <row r="4" spans="1:8" ht="243" customHeight="1">
      <c r="A4" s="778" t="s">
        <v>1945</v>
      </c>
      <c r="B4" s="778" t="s">
        <v>109</v>
      </c>
      <c r="C4" s="915" t="str">
        <f>IF(TEMPLATE_SPHERE="HEAT",D4,IF(TEMPLATE_SPHERE="TKO",H4,E4))</f>
        <v>Форма 1. Информация об организации, осуществляющей холодное водоснабжение (общая информация)</v>
      </c>
      <c r="D4" s="914" t="s">
        <v>1946</v>
      </c>
      <c r="E4" s="91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4"/>
      <c r="G4" s="914"/>
      <c r="H4" s="778" t="s">
        <v>1947</v>
      </c>
    </row>
    <row r="5" spans="1:8" ht="117" customHeight="1">
      <c r="A5" s="778" t="s">
        <v>1948</v>
      </c>
      <c r="B5" s="778" t="s">
        <v>89</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8" t="s">
        <v>1949</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7"/>
      <c r="G5" s="917"/>
      <c r="H5" s="778" t="s">
        <v>1950</v>
      </c>
    </row>
    <row r="6" spans="1:8" ht="90" customHeight="1">
      <c r="A6" s="778" t="s">
        <v>1951</v>
      </c>
      <c r="B6" s="778" t="s">
        <v>90</v>
      </c>
      <c r="C6" s="91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8"/>
      <c r="G6" s="778"/>
      <c r="H6" s="917"/>
    </row>
    <row r="7" spans="1:8" ht="45" customHeight="1">
      <c r="A7" s="778" t="s">
        <v>1952</v>
      </c>
      <c r="B7" s="778" t="s">
        <v>110</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1953</v>
      </c>
      <c r="E7" s="778" t="s">
        <v>1954</v>
      </c>
      <c r="F7" s="917"/>
      <c r="G7" s="917"/>
      <c r="H7" s="917"/>
    </row>
    <row r="8" spans="1:8" ht="108" customHeight="1">
      <c r="A8" s="778" t="s">
        <v>1955</v>
      </c>
      <c r="B8" s="778" t="s">
        <v>91</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1154</v>
      </c>
      <c r="E8" s="778" t="s">
        <v>1956</v>
      </c>
      <c r="F8" s="917"/>
      <c r="G8" s="917"/>
      <c r="H8" s="917"/>
    </row>
    <row r="9" spans="1:8" ht="99" customHeight="1">
      <c r="A9" s="778" t="s">
        <v>1957</v>
      </c>
      <c r="B9" s="778"/>
      <c r="C9" s="778" t="s">
        <v>1958</v>
      </c>
      <c r="D9" s="778"/>
      <c r="E9" s="778"/>
      <c r="F9" s="917"/>
      <c r="G9" s="917"/>
      <c r="H9" s="917"/>
    </row>
    <row r="10" spans="1:8" ht="126" customHeight="1">
      <c r="A10" s="778" t="s">
        <v>1959</v>
      </c>
      <c r="B10" s="778"/>
      <c r="C10" s="778" t="s">
        <v>1960</v>
      </c>
      <c r="D10" s="778"/>
      <c r="E10" s="778"/>
      <c r="F10" s="917"/>
      <c r="G10" s="917"/>
      <c r="H10" s="917"/>
    </row>
    <row r="11" spans="1:8" ht="108" customHeight="1">
      <c r="A11" s="778" t="s">
        <v>1961</v>
      </c>
      <c r="B11" s="778"/>
      <c r="C11" s="778" t="s">
        <v>1962</v>
      </c>
      <c r="D11" s="778"/>
      <c r="E11" s="778"/>
      <c r="F11" s="917"/>
      <c r="G11" s="917"/>
      <c r="H11" s="917"/>
    </row>
    <row r="12" spans="1:8" ht="54" customHeight="1">
      <c r="A12" s="778" t="s">
        <v>1963</v>
      </c>
      <c r="B12" s="778"/>
      <c r="C12" s="778" t="s">
        <v>1964</v>
      </c>
      <c r="D12" s="778"/>
      <c r="E12" s="778"/>
      <c r="F12" s="917"/>
      <c r="G12" s="917"/>
      <c r="H12" s="917"/>
    </row>
    <row r="13" spans="1:8" ht="45" customHeight="1">
      <c r="A13" s="778" t="s">
        <v>1965</v>
      </c>
      <c r="B13" s="778"/>
      <c r="C13" s="778" t="s">
        <v>1966</v>
      </c>
      <c r="D13" s="778"/>
      <c r="E13" s="778"/>
      <c r="F13" s="917"/>
      <c r="G13" s="917"/>
      <c r="H13" s="917"/>
    </row>
    <row r="14" spans="1:8" ht="117" customHeight="1">
      <c r="A14" s="778" t="s">
        <v>1967</v>
      </c>
      <c r="B14" s="778"/>
      <c r="C14" s="778" t="s">
        <v>1968</v>
      </c>
      <c r="D14" s="778"/>
      <c r="E14" s="778"/>
      <c r="F14" s="917"/>
      <c r="G14" s="917"/>
      <c r="H14" s="917"/>
    </row>
    <row r="15" spans="1:8" ht="117" customHeight="1">
      <c r="A15" s="778" t="s">
        <v>1969</v>
      </c>
      <c r="B15" s="778"/>
      <c r="C15" s="778" t="s">
        <v>1970</v>
      </c>
      <c r="D15" s="778"/>
      <c r="E15" s="778"/>
      <c r="F15" s="917"/>
      <c r="G15" s="917"/>
      <c r="H15" s="917"/>
    </row>
    <row r="16" spans="1:8" ht="63" customHeight="1">
      <c r="A16" s="778" t="s">
        <v>1971</v>
      </c>
      <c r="B16" s="778"/>
      <c r="C16" s="778" t="s">
        <v>1972</v>
      </c>
      <c r="D16" s="778"/>
      <c r="E16" s="778"/>
      <c r="F16" s="917"/>
      <c r="G16" s="917"/>
      <c r="H16" s="917"/>
    </row>
    <row r="17" spans="1:8" ht="54" customHeight="1">
      <c r="A17" s="778" t="s">
        <v>1973</v>
      </c>
      <c r="B17" s="778"/>
      <c r="C17" s="915" t="s">
        <v>1974</v>
      </c>
      <c r="D17" s="778"/>
      <c r="E17" s="778"/>
      <c r="F17" s="917"/>
      <c r="G17" s="917"/>
      <c r="H17" s="917"/>
    </row>
    <row r="18" spans="1:8" ht="27" customHeight="1">
      <c r="A18" s="778" t="s">
        <v>1975</v>
      </c>
      <c r="B18" s="778"/>
      <c r="C18" s="915" t="s">
        <v>1976</v>
      </c>
      <c r="D18" s="778"/>
      <c r="E18" s="778"/>
      <c r="F18" s="917"/>
      <c r="G18" s="917"/>
      <c r="H18" s="917"/>
    </row>
    <row r="19" spans="1:8" ht="54" customHeight="1">
      <c r="A19" s="778" t="s">
        <v>1977</v>
      </c>
      <c r="B19" s="778"/>
      <c r="C19" s="915" t="s">
        <v>1978</v>
      </c>
      <c r="D19" s="778"/>
      <c r="E19" s="778"/>
      <c r="F19" s="917"/>
      <c r="G19" s="917"/>
      <c r="H19" s="917"/>
    </row>
    <row r="20" spans="1:8" ht="36" customHeight="1">
      <c r="A20" s="778" t="s">
        <v>1979</v>
      </c>
      <c r="B20" s="778"/>
      <c r="C20" s="915" t="s">
        <v>1980</v>
      </c>
      <c r="D20" s="778"/>
      <c r="E20" s="778"/>
      <c r="F20" s="917"/>
      <c r="G20" s="917"/>
      <c r="H20" s="917"/>
    </row>
    <row r="21" spans="1:8" ht="36" customHeight="1">
      <c r="A21" s="778" t="s">
        <v>1981</v>
      </c>
      <c r="B21" s="778"/>
      <c r="C21" s="915" t="s">
        <v>1982</v>
      </c>
      <c r="D21" s="778"/>
      <c r="E21" s="778"/>
      <c r="F21" s="917"/>
      <c r="G21" s="917"/>
      <c r="H21" s="917"/>
    </row>
    <row r="22" spans="1:8" ht="27" customHeight="1">
      <c r="A22" s="778" t="s">
        <v>1983</v>
      </c>
      <c r="B22" s="778"/>
      <c r="C22" s="915" t="s">
        <v>1984</v>
      </c>
      <c r="D22" s="778"/>
      <c r="E22" s="778"/>
      <c r="F22" s="917"/>
      <c r="G22" s="917"/>
      <c r="H22" s="917"/>
    </row>
    <row r="23" spans="1:8" ht="36" customHeight="1">
      <c r="A23" s="778" t="s">
        <v>1985</v>
      </c>
      <c r="B23" s="778"/>
      <c r="C23" s="915" t="s">
        <v>1986</v>
      </c>
      <c r="D23" s="778"/>
      <c r="E23" s="778"/>
      <c r="F23" s="917"/>
      <c r="G23" s="917"/>
      <c r="H23" s="917"/>
    </row>
    <row r="24" spans="1:8" ht="28.5" customHeight="1">
      <c r="A24" s="778" t="s">
        <v>1987</v>
      </c>
      <c r="B24" s="778"/>
      <c r="C24" s="915" t="s">
        <v>1988</v>
      </c>
      <c r="D24" s="778"/>
      <c r="E24" s="778"/>
      <c r="F24" s="917"/>
      <c r="G24" s="917"/>
      <c r="H24" s="917"/>
    </row>
    <row r="25" spans="1:8" ht="36" customHeight="1">
      <c r="A25" s="778" t="s">
        <v>1989</v>
      </c>
      <c r="B25" s="778"/>
      <c r="C25" s="915" t="s">
        <v>1990</v>
      </c>
      <c r="D25" s="778"/>
      <c r="E25" s="778"/>
      <c r="F25" s="917"/>
      <c r="G25" s="917"/>
      <c r="H25" s="917"/>
    </row>
    <row r="26" spans="1:8" ht="27" customHeight="1">
      <c r="A26" s="778" t="s">
        <v>1991</v>
      </c>
      <c r="B26" s="778"/>
      <c r="C26" s="915" t="s">
        <v>1992</v>
      </c>
      <c r="D26" s="778"/>
      <c r="E26" s="778"/>
      <c r="F26" s="917"/>
      <c r="G26" s="917"/>
      <c r="H26" s="917"/>
    </row>
    <row r="27" spans="1:8" ht="36" customHeight="1">
      <c r="A27" s="778" t="s">
        <v>1993</v>
      </c>
      <c r="B27" s="778"/>
      <c r="C27" s="915" t="s">
        <v>1994</v>
      </c>
      <c r="D27" s="778"/>
      <c r="E27" s="778"/>
      <c r="F27" s="917"/>
      <c r="G27" s="917"/>
      <c r="H27" s="917"/>
    </row>
    <row r="28" spans="1:8" ht="28.5" customHeight="1">
      <c r="A28" s="778" t="s">
        <v>1995</v>
      </c>
      <c r="B28" s="778"/>
      <c r="C28" s="915" t="s">
        <v>1996</v>
      </c>
      <c r="D28" s="778"/>
      <c r="E28" s="778"/>
      <c r="F28" s="917"/>
      <c r="G28" s="917"/>
      <c r="H28" s="917"/>
    </row>
    <row r="29" spans="1:8" ht="126" customHeight="1">
      <c r="A29" s="778" t="s">
        <v>1997</v>
      </c>
      <c r="B29" s="778" t="s">
        <v>1569</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8" t="s">
        <v>1998</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7"/>
      <c r="G29" s="917"/>
      <c r="H29" s="778" t="s">
        <v>1999</v>
      </c>
    </row>
    <row r="30" spans="1:8" ht="36" customHeight="1">
      <c r="A30" s="778" t="s">
        <v>2000</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8" t="s">
        <v>2001</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7"/>
      <c r="G30" s="917"/>
      <c r="H30" s="917"/>
    </row>
    <row r="31" spans="1:8" ht="54" customHeight="1">
      <c r="A31" s="778" t="s">
        <v>2002</v>
      </c>
      <c r="B31" s="778"/>
      <c r="C31" s="915" t="str">
        <f>IF(TEMPLATE_SPHERE="HEAT",D31,IF(TEMPLATE_SPHERE="TKO",H31,E31))</f>
        <v>Форма 1. Информация об организации, осуществляющей холодное водоснабжение (общая информация)</v>
      </c>
      <c r="D31" s="778" t="s">
        <v>2003</v>
      </c>
      <c r="E31" s="78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7"/>
      <c r="G31" s="917"/>
      <c r="H31" s="917"/>
    </row>
    <row r="32" spans="1:8" ht="198" customHeight="1">
      <c r="A32" s="778" t="s">
        <v>2004</v>
      </c>
      <c r="B32" s="778"/>
      <c r="C32" s="915"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8" t="s">
        <v>2005</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7"/>
      <c r="G32" s="917"/>
      <c r="H32" s="778" t="s">
        <v>2006</v>
      </c>
    </row>
    <row r="33" spans="1:8" ht="9" customHeight="1">
      <c r="A33" s="778"/>
      <c r="B33" s="778"/>
      <c r="C33" s="915"/>
      <c r="D33" s="778"/>
      <c r="E33" s="778"/>
      <c r="F33" s="917"/>
      <c r="G33" s="917"/>
      <c r="H33" s="917"/>
    </row>
    <row r="34" spans="1:8" ht="9" customHeight="1">
      <c r="A34" s="778"/>
      <c r="B34" s="778" t="s">
        <v>1505</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2007</v>
      </c>
      <c r="D1" s="829"/>
      <c r="E1" s="829"/>
      <c r="F1" s="829"/>
      <c r="G1" s="829"/>
      <c r="H1" s="829" t="s">
        <v>2008</v>
      </c>
      <c r="I1" s="829"/>
      <c r="J1" s="829"/>
      <c r="K1" s="829"/>
      <c r="L1" s="829"/>
      <c r="M1" s="829" t="s">
        <v>2009</v>
      </c>
      <c r="N1" s="829" t="s">
        <v>2010</v>
      </c>
      <c r="O1" s="2459" t="s">
        <v>2011</v>
      </c>
      <c r="P1" s="2459"/>
      <c r="Q1" s="2459"/>
      <c r="R1" s="2459"/>
      <c r="S1" s="2459"/>
      <c r="T1" s="2459" t="s">
        <v>2009</v>
      </c>
      <c r="U1" s="2459"/>
      <c r="V1" s="2459"/>
      <c r="W1" s="2459"/>
      <c r="X1" s="2459"/>
      <c r="Y1" s="930"/>
      <c r="Z1" s="2459" t="s">
        <v>2012</v>
      </c>
      <c r="AA1" s="2459"/>
      <c r="AB1" s="2459"/>
      <c r="AC1" s="2459"/>
      <c r="AD1" s="2459"/>
    </row>
    <row r="2" spans="1:34" ht="18" customHeight="1">
      <c r="A2" s="778"/>
      <c r="B2" s="778"/>
      <c r="C2" s="773" t="s">
        <v>806</v>
      </c>
      <c r="D2" s="773" t="s">
        <v>852</v>
      </c>
      <c r="E2" s="773" t="s">
        <v>905</v>
      </c>
      <c r="F2" s="773" t="s">
        <v>892</v>
      </c>
      <c r="G2" s="773" t="s">
        <v>1617</v>
      </c>
      <c r="H2" s="775"/>
      <c r="I2" s="775"/>
      <c r="J2" s="775"/>
      <c r="K2" s="775"/>
      <c r="L2" s="775"/>
      <c r="M2" s="775"/>
      <c r="N2" s="775"/>
      <c r="O2" s="773" t="s">
        <v>806</v>
      </c>
      <c r="P2" s="773" t="s">
        <v>852</v>
      </c>
      <c r="Q2" s="773" t="s">
        <v>892</v>
      </c>
      <c r="R2" s="773" t="s">
        <v>905</v>
      </c>
      <c r="S2" s="773" t="s">
        <v>1617</v>
      </c>
      <c r="T2" s="773" t="s">
        <v>806</v>
      </c>
      <c r="U2" s="773" t="s">
        <v>852</v>
      </c>
      <c r="V2" s="773" t="s">
        <v>892</v>
      </c>
      <c r="W2" s="773" t="s">
        <v>905</v>
      </c>
      <c r="X2" s="773" t="s">
        <v>1617</v>
      </c>
      <c r="Y2" s="773"/>
      <c r="Z2" s="773" t="s">
        <v>806</v>
      </c>
      <c r="AA2" s="782" t="s">
        <v>852</v>
      </c>
      <c r="AB2" s="773" t="s">
        <v>892</v>
      </c>
      <c r="AC2" s="773" t="s">
        <v>905</v>
      </c>
      <c r="AD2" s="773" t="s">
        <v>1617</v>
      </c>
    </row>
    <row r="3" spans="1:34" ht="162" customHeight="1">
      <c r="A3" s="777" t="s">
        <v>27</v>
      </c>
      <c r="B3" s="777"/>
      <c r="C3" s="2463" t="s">
        <v>2013</v>
      </c>
      <c r="D3" s="2464"/>
      <c r="E3" s="2464"/>
      <c r="F3" s="2465"/>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5"/>
      <c r="P3" s="775"/>
      <c r="Q3" s="775"/>
      <c r="R3" s="775"/>
      <c r="S3" s="775"/>
      <c r="T3" s="775"/>
      <c r="U3" s="775"/>
      <c r="V3" s="775"/>
      <c r="W3" s="775"/>
      <c r="X3" s="775"/>
      <c r="Y3" s="931"/>
      <c r="Z3" s="778" t="s">
        <v>2014</v>
      </c>
      <c r="AA3" s="775" t="s">
        <v>2015</v>
      </c>
      <c r="AB3" s="778" t="s">
        <v>2016</v>
      </c>
      <c r="AC3" s="778" t="s">
        <v>2017</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460" t="s">
        <v>33</v>
      </c>
      <c r="B11" s="830">
        <v>1</v>
      </c>
      <c r="C11" s="2466" t="s">
        <v>1556</v>
      </c>
      <c r="D11" s="2466" t="s">
        <v>1552</v>
      </c>
      <c r="E11" s="2466" t="s">
        <v>1649</v>
      </c>
      <c r="F11" s="2466" t="s">
        <v>2018</v>
      </c>
      <c r="G11" s="2466"/>
      <c r="H11" s="829" t="s">
        <v>2019</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5"/>
      <c r="P11" s="775"/>
      <c r="Q11" s="775"/>
      <c r="R11" s="775"/>
      <c r="S11" s="775"/>
      <c r="T11" s="775" t="s">
        <v>2020</v>
      </c>
      <c r="U11" s="775" t="s">
        <v>2021</v>
      </c>
      <c r="V11" s="775"/>
      <c r="W11" s="775"/>
      <c r="X11" s="775"/>
      <c r="Y11" s="931"/>
      <c r="Z11" s="778" t="s">
        <v>2022</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8"/>
      <c r="AC11" s="778"/>
      <c r="AD11" s="778"/>
    </row>
    <row r="12" spans="1:34" ht="45" customHeight="1">
      <c r="A12" s="2460"/>
      <c r="B12" s="830">
        <v>2</v>
      </c>
      <c r="C12" s="2467"/>
      <c r="D12" s="2467"/>
      <c r="E12" s="2467"/>
      <c r="F12" s="2467"/>
      <c r="G12" s="2467"/>
      <c r="H12" s="829" t="s">
        <v>2023</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5"/>
      <c r="P12" s="775"/>
      <c r="Q12" s="775"/>
      <c r="R12" s="775"/>
      <c r="S12" s="775"/>
      <c r="T12" s="775" t="s">
        <v>2024</v>
      </c>
      <c r="U12" s="775" t="s">
        <v>2025</v>
      </c>
      <c r="V12" s="775"/>
      <c r="W12" s="775"/>
      <c r="X12" s="775"/>
      <c r="Y12" s="931"/>
      <c r="Z12" s="778" t="s">
        <v>2026</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8"/>
      <c r="AC12" s="778"/>
      <c r="AD12" s="778"/>
    </row>
    <row r="13" spans="1:34" ht="72" customHeight="1">
      <c r="A13" s="2460"/>
      <c r="B13" s="830">
        <v>3</v>
      </c>
      <c r="C13" s="2467"/>
      <c r="D13" s="2467"/>
      <c r="E13" s="2467"/>
      <c r="F13" s="2467"/>
      <c r="G13" s="2467"/>
      <c r="H13" s="2459" t="s">
        <v>2027</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5"/>
      <c r="P13" s="776"/>
      <c r="Q13" s="776"/>
      <c r="R13" s="776"/>
      <c r="S13" s="775"/>
      <c r="T13" s="775" t="s">
        <v>2028</v>
      </c>
      <c r="U13" s="776" t="s">
        <v>2029</v>
      </c>
      <c r="V13" s="776"/>
      <c r="W13" s="776"/>
      <c r="X13" s="775"/>
      <c r="Y13" s="931"/>
      <c r="Z13" s="778" t="s">
        <v>2030</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8"/>
      <c r="AC13" s="778"/>
      <c r="AD13" s="778"/>
    </row>
    <row r="14" spans="1:34" ht="45" customHeight="1">
      <c r="A14" s="2460"/>
      <c r="B14" s="830">
        <v>4</v>
      </c>
      <c r="C14" s="2467"/>
      <c r="D14" s="2467"/>
      <c r="E14" s="2467"/>
      <c r="F14" s="2467"/>
      <c r="G14" s="2467"/>
      <c r="H14" s="2459"/>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2031</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6"/>
      <c r="W14" s="776"/>
      <c r="X14" s="775"/>
      <c r="Y14" s="931"/>
      <c r="Z14" s="778" t="s">
        <v>2032</v>
      </c>
      <c r="AA14" s="781" t="s">
        <v>2032</v>
      </c>
      <c r="AB14" s="778"/>
      <c r="AC14" s="778"/>
      <c r="AD14" s="778"/>
    </row>
    <row r="15" spans="1:34" ht="108" customHeight="1">
      <c r="A15" s="2460"/>
      <c r="B15" s="830">
        <v>5</v>
      </c>
      <c r="C15" s="2467"/>
      <c r="D15" s="2467"/>
      <c r="E15" s="2467"/>
      <c r="F15" s="2467"/>
      <c r="G15" s="2467"/>
      <c r="H15" s="2461" t="s">
        <v>2033</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5"/>
      <c r="P15" s="776"/>
      <c r="Q15" s="776"/>
      <c r="R15" s="776"/>
      <c r="S15" s="775"/>
      <c r="T15" s="775" t="s">
        <v>2034</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6"/>
      <c r="W15" s="776"/>
      <c r="X15" s="775"/>
      <c r="Y15" s="931"/>
      <c r="Z15" s="778" t="s">
        <v>2035</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8"/>
      <c r="AC15" s="778"/>
      <c r="AD15" s="778"/>
    </row>
    <row r="16" spans="1:34" ht="108" customHeight="1">
      <c r="A16" s="830"/>
      <c r="B16" s="830">
        <v>6</v>
      </c>
      <c r="C16" s="2468"/>
      <c r="D16" s="2468"/>
      <c r="E16" s="2468"/>
      <c r="F16" s="2468"/>
      <c r="G16" s="2468"/>
      <c r="H16" s="2462"/>
      <c r="I16" s="893"/>
      <c r="J16" s="893"/>
      <c r="K16" s="893"/>
      <c r="L16" s="893"/>
      <c r="M16" s="823"/>
      <c r="N16" s="780"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5"/>
      <c r="P16" s="776"/>
      <c r="Q16" s="776"/>
      <c r="R16" s="776"/>
      <c r="S16" s="775"/>
      <c r="T16" s="775"/>
      <c r="U16" s="776"/>
      <c r="V16" s="776"/>
      <c r="W16" s="776"/>
      <c r="X16" s="775"/>
      <c r="Y16" s="931"/>
      <c r="Z16" s="778" t="s">
        <v>2035</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1652</v>
      </c>
      <c r="B18" s="830">
        <v>1</v>
      </c>
      <c r="C18" s="775" t="s">
        <v>2019</v>
      </c>
      <c r="D18" s="898" t="s">
        <v>2019</v>
      </c>
      <c r="E18" s="775" t="s">
        <v>2019</v>
      </c>
      <c r="F18" s="775" t="s">
        <v>2019</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холодного водоснабжения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холодного водоснабжения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2036</v>
      </c>
      <c r="U18" s="778" t="s">
        <v>2037</v>
      </c>
      <c r="V18" s="778" t="s">
        <v>2038</v>
      </c>
      <c r="W18" s="778" t="s">
        <v>2039</v>
      </c>
      <c r="X18" s="775"/>
      <c r="Y18" s="931"/>
      <c r="Z18" s="778" t="s">
        <v>2040</v>
      </c>
      <c r="AA18" s="781" t="s">
        <v>2041</v>
      </c>
      <c r="AB18" s="781" t="s">
        <v>2041</v>
      </c>
      <c r="AC18" s="781" t="s">
        <v>2041</v>
      </c>
      <c r="AD18" s="778"/>
    </row>
    <row r="19" spans="1:30" ht="36" customHeight="1">
      <c r="A19" s="777"/>
      <c r="B19" s="830">
        <v>2</v>
      </c>
      <c r="C19" s="775" t="s">
        <v>2023</v>
      </c>
      <c r="D19" s="898" t="s">
        <v>2023</v>
      </c>
      <c r="E19" s="775" t="s">
        <v>2023</v>
      </c>
      <c r="F19" s="775" t="s">
        <v>2023</v>
      </c>
      <c r="G19" s="775"/>
      <c r="H19" s="933"/>
      <c r="I19" s="936">
        <f t="shared" si="1"/>
        <v>2</v>
      </c>
      <c r="J19" s="936" t="str">
        <f t="shared" si="2"/>
        <v>Себестоимость производимых товаров (оказываемых услуг) по регулируемым видам деятельности в сфере холодного водоснабжения,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холодного водоснабжения, включая:</v>
      </c>
      <c r="N19" s="776" t="str">
        <f t="shared" si="6"/>
        <v>Указывается суммарная себестоимость производимых товаров.</v>
      </c>
      <c r="O19" s="888">
        <v>2</v>
      </c>
      <c r="P19" s="888">
        <v>2</v>
      </c>
      <c r="Q19" s="888">
        <v>2</v>
      </c>
      <c r="R19" s="888">
        <v>2</v>
      </c>
      <c r="S19" s="888"/>
      <c r="T19" s="895" t="s">
        <v>2042</v>
      </c>
      <c r="U19" s="778" t="s">
        <v>2043</v>
      </c>
      <c r="V19" s="778" t="s">
        <v>2044</v>
      </c>
      <c r="W19" s="778" t="s">
        <v>2045</v>
      </c>
      <c r="X19" s="775"/>
      <c r="Y19" s="931"/>
      <c r="Z19" s="778" t="s">
        <v>2046</v>
      </c>
      <c r="AA19" s="781" t="s">
        <v>2046</v>
      </c>
      <c r="AB19" s="781" t="s">
        <v>2046</v>
      </c>
      <c r="AC19" s="781" t="s">
        <v>2046</v>
      </c>
      <c r="AD19" s="778"/>
    </row>
    <row r="20" spans="1:30" ht="27" customHeight="1">
      <c r="A20" s="777"/>
      <c r="B20" s="830">
        <v>3</v>
      </c>
      <c r="C20" s="775">
        <v>1</v>
      </c>
      <c r="D20" s="898"/>
      <c r="E20" s="775"/>
      <c r="F20" s="775"/>
      <c r="G20" s="775"/>
      <c r="H20" s="933"/>
      <c r="I20" s="936" t="str">
        <f t="shared" si="1"/>
        <v>2.1</v>
      </c>
      <c r="J20" s="936" t="str">
        <f t="shared" si="2"/>
        <v>Расходы на оплату холодной воды, приобретаемой у других организаций для последующей подачи потребителям</v>
      </c>
      <c r="K20" s="936">
        <f t="shared" si="3"/>
        <v>0</v>
      </c>
      <c r="L20" s="776" t="str">
        <f t="shared" si="4"/>
        <v>2.1</v>
      </c>
      <c r="M20" s="776" t="str">
        <f t="shared" si="5"/>
        <v>Расходы на оплату холодной воды, приобретаемой у других организаций для последующей подачи потребителям</v>
      </c>
      <c r="N20" s="776" t="str">
        <f t="shared" si="6"/>
        <v/>
      </c>
      <c r="O20" s="888" t="s">
        <v>707</v>
      </c>
      <c r="P20" s="888" t="s">
        <v>707</v>
      </c>
      <c r="Q20" s="888" t="s">
        <v>707</v>
      </c>
      <c r="R20" s="888" t="s">
        <v>707</v>
      </c>
      <c r="S20" s="888"/>
      <c r="T20" s="895" t="s">
        <v>2047</v>
      </c>
      <c r="U20" s="778" t="s">
        <v>2048</v>
      </c>
      <c r="V20" s="778" t="s">
        <v>2049</v>
      </c>
      <c r="W20" s="778" t="s">
        <v>2050</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305</v>
      </c>
      <c r="P21" s="888"/>
      <c r="Q21" s="888"/>
      <c r="R21" s="888"/>
      <c r="S21" s="888"/>
      <c r="T21" s="895" t="s">
        <v>2051</v>
      </c>
      <c r="U21" s="778"/>
      <c r="V21" s="778"/>
      <c r="W21" s="778"/>
      <c r="X21" s="775"/>
      <c r="Y21" s="931"/>
      <c r="Z21" s="778" t="s">
        <v>2052</v>
      </c>
      <c r="AA21" s="781"/>
      <c r="AB21" s="778"/>
      <c r="AC21" s="778"/>
      <c r="AD21" s="778"/>
    </row>
    <row r="22" spans="1:30" ht="36" customHeight="1">
      <c r="A22" s="777"/>
      <c r="B22" s="830">
        <v>5</v>
      </c>
      <c r="C22" s="775">
        <v>3</v>
      </c>
      <c r="D22" s="898"/>
      <c r="E22" s="775"/>
      <c r="F22" s="775"/>
      <c r="G22" s="822"/>
      <c r="H22" s="889"/>
      <c r="I22" s="936">
        <f t="shared" si="1"/>
        <v>0</v>
      </c>
      <c r="J22" s="936">
        <f t="shared" si="2"/>
        <v>0</v>
      </c>
      <c r="K22" s="936">
        <f t="shared" si="3"/>
        <v>0</v>
      </c>
      <c r="L22" s="776" t="str">
        <f t="shared" si="4"/>
        <v/>
      </c>
      <c r="M22" s="776" t="str">
        <f t="shared" si="5"/>
        <v/>
      </c>
      <c r="N22" s="776" t="str">
        <f t="shared" si="6"/>
        <v/>
      </c>
      <c r="O22" s="888"/>
      <c r="P22" s="888"/>
      <c r="Q22" s="888" t="s">
        <v>305</v>
      </c>
      <c r="R22" s="888"/>
      <c r="S22" s="888"/>
      <c r="T22" s="895"/>
      <c r="U22" s="778"/>
      <c r="V22" s="778" t="s">
        <v>2053</v>
      </c>
      <c r="W22" s="778"/>
      <c r="X22" s="775"/>
      <c r="Y22" s="931"/>
      <c r="Z22" s="778"/>
      <c r="AA22" s="781"/>
      <c r="AB22" s="778"/>
      <c r="AC22" s="778"/>
      <c r="AD22" s="778"/>
    </row>
    <row r="23" spans="1:30" ht="27" customHeight="1">
      <c r="A23" s="777"/>
      <c r="B23" s="830">
        <v>6</v>
      </c>
      <c r="C23" s="775">
        <v>4</v>
      </c>
      <c r="D23" s="898"/>
      <c r="E23" s="775"/>
      <c r="F23" s="775"/>
      <c r="G23" s="822"/>
      <c r="H23" s="889"/>
      <c r="I23" s="936">
        <f t="shared" si="1"/>
        <v>0</v>
      </c>
      <c r="J23" s="936">
        <f t="shared" si="2"/>
        <v>0</v>
      </c>
      <c r="K23" s="936">
        <f t="shared" si="3"/>
        <v>0</v>
      </c>
      <c r="L23" s="776" t="str">
        <f t="shared" si="4"/>
        <v/>
      </c>
      <c r="M23" s="776" t="str">
        <f t="shared" si="5"/>
        <v/>
      </c>
      <c r="N23" s="776" t="str">
        <f t="shared" si="6"/>
        <v/>
      </c>
      <c r="O23" s="888"/>
      <c r="P23" s="888"/>
      <c r="Q23" s="888" t="s">
        <v>308</v>
      </c>
      <c r="R23" s="888"/>
      <c r="S23" s="888"/>
      <c r="T23" s="895"/>
      <c r="U23" s="778"/>
      <c r="V23" s="778" t="s">
        <v>2054</v>
      </c>
      <c r="W23" s="778"/>
      <c r="X23" s="775"/>
      <c r="Y23" s="931"/>
      <c r="Z23" s="778"/>
      <c r="AA23" s="781"/>
      <c r="AB23" s="778"/>
      <c r="AC23" s="778"/>
      <c r="AD23" s="778"/>
    </row>
    <row r="24" spans="1:30" ht="36" customHeight="1">
      <c r="A24" s="777"/>
      <c r="B24" s="830">
        <v>7</v>
      </c>
      <c r="C24" s="775">
        <v>5</v>
      </c>
      <c r="D24" s="898"/>
      <c r="E24" s="775"/>
      <c r="F24" s="775"/>
      <c r="G24" s="822"/>
      <c r="H24" s="889"/>
      <c r="I24" s="936">
        <f t="shared" si="1"/>
        <v>0</v>
      </c>
      <c r="J24" s="936">
        <f t="shared" si="2"/>
        <v>0</v>
      </c>
      <c r="K24" s="936">
        <f t="shared" si="3"/>
        <v>0</v>
      </c>
      <c r="L24" s="776" t="str">
        <f t="shared" si="4"/>
        <v/>
      </c>
      <c r="M24" s="776" t="str">
        <f t="shared" si="5"/>
        <v/>
      </c>
      <c r="N24" s="776" t="str">
        <f t="shared" si="6"/>
        <v/>
      </c>
      <c r="O24" s="888"/>
      <c r="P24" s="888"/>
      <c r="Q24" s="888" t="s">
        <v>727</v>
      </c>
      <c r="R24" s="888"/>
      <c r="S24" s="888"/>
      <c r="T24" s="895"/>
      <c r="U24" s="778"/>
      <c r="V24" s="778" t="s">
        <v>2055</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2.2</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2.2</v>
      </c>
      <c r="M25" s="776" t="str">
        <f t="shared" si="5"/>
        <v>Расходы на приобретаемую электрическую энергию (мощность), используемую в технологическом процессе</v>
      </c>
      <c r="N25" s="776" t="str">
        <f t="shared" si="6"/>
        <v/>
      </c>
      <c r="O25" s="888" t="s">
        <v>308</v>
      </c>
      <c r="P25" s="888" t="s">
        <v>305</v>
      </c>
      <c r="Q25" s="888" t="s">
        <v>734</v>
      </c>
      <c r="R25" s="888" t="s">
        <v>305</v>
      </c>
      <c r="S25" s="888"/>
      <c r="T25" s="895" t="s">
        <v>2056</v>
      </c>
      <c r="U25" s="778" t="s">
        <v>2056</v>
      </c>
      <c r="V25" s="778" t="s">
        <v>2056</v>
      </c>
      <c r="W25" s="778" t="s">
        <v>2056</v>
      </c>
      <c r="X25" s="775"/>
      <c r="Y25" s="931"/>
      <c r="Z25" s="778"/>
      <c r="AA25" s="781"/>
      <c r="AB25" s="778"/>
      <c r="AC25" s="778"/>
      <c r="AD25" s="778"/>
    </row>
    <row r="26" spans="1:30" ht="18" customHeight="1">
      <c r="A26" s="777"/>
      <c r="B26" s="830">
        <v>9</v>
      </c>
      <c r="C26" s="775" t="s">
        <v>650</v>
      </c>
      <c r="D26" s="898"/>
      <c r="E26" s="775"/>
      <c r="F26" s="775"/>
      <c r="G26" s="822"/>
      <c r="H26" s="889"/>
      <c r="I26" s="936" t="str">
        <f t="shared" si="1"/>
        <v>2.2.1</v>
      </c>
      <c r="J26" s="936" t="str">
        <f t="shared" si="2"/>
        <v>Средневзвешенная стоимость 1 кВт.ч (с учетом мощности)</v>
      </c>
      <c r="K26" s="936">
        <f t="shared" si="3"/>
        <v>0</v>
      </c>
      <c r="L26" s="776" t="str">
        <f t="shared" si="4"/>
        <v>2.2.1</v>
      </c>
      <c r="M26" s="776" t="str">
        <f t="shared" si="5"/>
        <v>Средневзвешенная стоимость 1 кВт.ч (с учетом мощности)</v>
      </c>
      <c r="N26" s="776" t="str">
        <f t="shared" si="6"/>
        <v/>
      </c>
      <c r="O26" s="888" t="s">
        <v>723</v>
      </c>
      <c r="P26" s="888" t="s">
        <v>717</v>
      </c>
      <c r="Q26" s="888" t="s">
        <v>2057</v>
      </c>
      <c r="R26" s="888" t="s">
        <v>717</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2058</v>
      </c>
      <c r="V26" s="895" t="s">
        <v>2058</v>
      </c>
      <c r="W26" s="895" t="s">
        <v>2058</v>
      </c>
      <c r="X26" s="775"/>
      <c r="Y26" s="931"/>
      <c r="Z26" s="778"/>
      <c r="AA26" s="781"/>
      <c r="AB26" s="778"/>
      <c r="AC26" s="778"/>
      <c r="AD26" s="778"/>
    </row>
    <row r="27" spans="1:30" ht="18" customHeight="1">
      <c r="A27" s="777"/>
      <c r="B27" s="830">
        <v>10</v>
      </c>
      <c r="C27" s="775" t="s">
        <v>654</v>
      </c>
      <c r="D27" s="898"/>
      <c r="E27" s="775"/>
      <c r="F27" s="775"/>
      <c r="G27" s="822"/>
      <c r="H27" s="889"/>
      <c r="I27" s="936" t="str">
        <f t="shared" si="1"/>
        <v>2.2.2</v>
      </c>
      <c r="J27" s="936" t="str">
        <f t="shared" si="2"/>
        <v>Объём приобретения электрической энергии</v>
      </c>
      <c r="K27" s="936">
        <f t="shared" si="3"/>
        <v>0</v>
      </c>
      <c r="L27" s="776" t="str">
        <f t="shared" si="4"/>
        <v>2.2.2</v>
      </c>
      <c r="M27" s="776" t="str">
        <f t="shared" si="5"/>
        <v>Объём приобретения электрической энергии</v>
      </c>
      <c r="N27" s="776" t="str">
        <f t="shared" si="6"/>
        <v/>
      </c>
      <c r="O27" s="888" t="s">
        <v>725</v>
      </c>
      <c r="P27" s="888" t="s">
        <v>719</v>
      </c>
      <c r="Q27" s="888" t="s">
        <v>2059</v>
      </c>
      <c r="R27" s="888" t="s">
        <v>719</v>
      </c>
      <c r="S27" s="888"/>
      <c r="T27" s="895" t="s">
        <v>2060</v>
      </c>
      <c r="U27" s="895" t="s">
        <v>2060</v>
      </c>
      <c r="V27" s="895" t="s">
        <v>2060</v>
      </c>
      <c r="W27" s="895" t="s">
        <v>2060</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727</v>
      </c>
      <c r="P28" s="888"/>
      <c r="Q28" s="888"/>
      <c r="R28" s="888"/>
      <c r="S28" s="888"/>
      <c r="T28" s="895" t="s">
        <v>2061</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t="str">
        <f t="shared" si="1"/>
        <v>2.3</v>
      </c>
      <c r="J29" s="936" t="str">
        <f t="shared" si="2"/>
        <v>Расходы на химические реагенты, используемые в технологическом процессе</v>
      </c>
      <c r="K29" s="936">
        <f t="shared" si="3"/>
        <v>0</v>
      </c>
      <c r="L29" s="776" t="str">
        <f t="shared" si="4"/>
        <v>2.3</v>
      </c>
      <c r="M29" s="776" t="str">
        <f t="shared" si="5"/>
        <v>Расходы на химические реагенты, используемые в технологическом процессе</v>
      </c>
      <c r="N29" s="776" t="str">
        <f t="shared" si="6"/>
        <v/>
      </c>
      <c r="O29" s="888" t="s">
        <v>734</v>
      </c>
      <c r="P29" s="888" t="s">
        <v>308</v>
      </c>
      <c r="Q29" s="888"/>
      <c r="R29" s="888" t="s">
        <v>308</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2062</v>
      </c>
      <c r="V29" s="778"/>
      <c r="W29" s="778" t="s">
        <v>2062</v>
      </c>
      <c r="X29" s="775"/>
      <c r="Y29" s="931"/>
      <c r="Z29" s="778"/>
      <c r="AA29" s="781"/>
      <c r="AB29" s="778"/>
      <c r="AC29" s="778"/>
      <c r="AD29" s="778"/>
    </row>
    <row r="30" spans="1:30" ht="54" customHeight="1">
      <c r="A30" s="777"/>
      <c r="B30" s="830">
        <v>13</v>
      </c>
      <c r="C30" s="775">
        <v>9</v>
      </c>
      <c r="D30" s="898"/>
      <c r="E30" s="775"/>
      <c r="F30" s="775"/>
      <c r="G30" s="822"/>
      <c r="H30" s="889"/>
      <c r="I30" s="936" t="str">
        <f t="shared" si="1"/>
        <v>2.4</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2.4</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736</v>
      </c>
      <c r="P30" s="888" t="s">
        <v>727</v>
      </c>
      <c r="Q30" s="888" t="s">
        <v>736</v>
      </c>
      <c r="R30" s="888" t="s">
        <v>727</v>
      </c>
      <c r="S30" s="888"/>
      <c r="T30" s="895" t="s">
        <v>2063</v>
      </c>
      <c r="U30" s="778" t="s">
        <v>2063</v>
      </c>
      <c r="V30" s="778" t="s">
        <v>2063</v>
      </c>
      <c r="W30" s="778" t="s">
        <v>2063</v>
      </c>
      <c r="X30" s="775"/>
      <c r="Y30" s="931"/>
      <c r="Z30" s="778"/>
      <c r="AA30" s="781" t="s">
        <v>2064</v>
      </c>
      <c r="AB30" s="781" t="s">
        <v>2064</v>
      </c>
      <c r="AC30" s="781" t="s">
        <v>2064</v>
      </c>
      <c r="AD30" s="778"/>
    </row>
    <row r="31" spans="1:30" ht="18" customHeight="1">
      <c r="A31" s="777"/>
      <c r="B31" s="830">
        <v>14</v>
      </c>
      <c r="C31" s="775" t="s">
        <v>2065</v>
      </c>
      <c r="D31" s="898"/>
      <c r="E31" s="775"/>
      <c r="F31" s="775"/>
      <c r="G31" s="822"/>
      <c r="H31" s="889"/>
      <c r="I31" s="936" t="str">
        <f t="shared" si="1"/>
        <v>2.4.1</v>
      </c>
      <c r="J31" s="936" t="str">
        <f t="shared" si="2"/>
        <v>Расходы на оплату труда основного производственного персонала</v>
      </c>
      <c r="K31" s="936">
        <f t="shared" si="3"/>
        <v>0</v>
      </c>
      <c r="L31" s="776" t="str">
        <f t="shared" si="4"/>
        <v>2.4.1</v>
      </c>
      <c r="M31" s="776" t="str">
        <f t="shared" si="5"/>
        <v>Расходы на оплату труда основного производственного персонала</v>
      </c>
      <c r="N31" s="776" t="str">
        <f t="shared" si="6"/>
        <v/>
      </c>
      <c r="O31" s="888" t="s">
        <v>2066</v>
      </c>
      <c r="P31" s="888" t="s">
        <v>730</v>
      </c>
      <c r="Q31" s="888" t="s">
        <v>2066</v>
      </c>
      <c r="R31" s="888" t="s">
        <v>730</v>
      </c>
      <c r="S31" s="888"/>
      <c r="T31" s="896" t="s">
        <v>2067</v>
      </c>
      <c r="U31" s="778" t="s">
        <v>2067</v>
      </c>
      <c r="V31" s="778" t="s">
        <v>2067</v>
      </c>
      <c r="W31" s="778" t="s">
        <v>2067</v>
      </c>
      <c r="X31" s="775"/>
      <c r="Y31" s="931"/>
      <c r="Z31" s="778"/>
      <c r="AA31" s="781"/>
      <c r="AB31" s="781"/>
      <c r="AC31" s="781"/>
      <c r="AD31" s="778"/>
    </row>
    <row r="32" spans="1:30" ht="36" customHeight="1">
      <c r="A32" s="777"/>
      <c r="B32" s="830">
        <v>15</v>
      </c>
      <c r="C32" s="775" t="s">
        <v>2068</v>
      </c>
      <c r="D32" s="898"/>
      <c r="E32" s="775"/>
      <c r="F32" s="775"/>
      <c r="G32" s="822"/>
      <c r="H32" s="889"/>
      <c r="I32" s="936" t="str">
        <f t="shared" si="1"/>
        <v>2.4.2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2.4.2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2069</v>
      </c>
      <c r="P32" s="888" t="s">
        <v>732</v>
      </c>
      <c r="Q32" s="888" t="s">
        <v>2069</v>
      </c>
      <c r="R32" s="888" t="s">
        <v>732</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2070</v>
      </c>
      <c r="V32" s="778" t="s">
        <v>2070</v>
      </c>
      <c r="W32" s="778" t="s">
        <v>2070</v>
      </c>
      <c r="X32" s="775"/>
      <c r="Y32" s="931"/>
      <c r="Z32" s="778"/>
      <c r="AA32" s="781"/>
      <c r="AB32" s="781"/>
      <c r="AC32" s="781"/>
      <c r="AD32" s="778"/>
    </row>
    <row r="33" spans="1:30" ht="45" customHeight="1">
      <c r="A33" s="777"/>
      <c r="B33" s="830">
        <v>16</v>
      </c>
      <c r="C33" s="775">
        <v>10</v>
      </c>
      <c r="D33" s="898"/>
      <c r="E33" s="775"/>
      <c r="F33" s="775"/>
      <c r="G33" s="822"/>
      <c r="H33" s="889"/>
      <c r="I33" s="936" t="str">
        <f t="shared" si="1"/>
        <v>2.5</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2.5</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738</v>
      </c>
      <c r="P33" s="888" t="s">
        <v>734</v>
      </c>
      <c r="Q33" s="888" t="s">
        <v>738</v>
      </c>
      <c r="R33" s="888" t="s">
        <v>734</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2071</v>
      </c>
      <c r="V33" s="778" t="s">
        <v>2071</v>
      </c>
      <c r="W33" s="778" t="s">
        <v>2072</v>
      </c>
      <c r="X33" s="775"/>
      <c r="Y33" s="931"/>
      <c r="Z33" s="778"/>
      <c r="AA33" s="781" t="s">
        <v>2073</v>
      </c>
      <c r="AB33" s="781" t="s">
        <v>2073</v>
      </c>
      <c r="AC33" s="781" t="s">
        <v>2073</v>
      </c>
      <c r="AD33" s="778"/>
    </row>
    <row r="34" spans="1:30" ht="27" customHeight="1">
      <c r="A34" s="777"/>
      <c r="B34" s="830">
        <v>17</v>
      </c>
      <c r="C34" s="775" t="s">
        <v>2074</v>
      </c>
      <c r="D34" s="898"/>
      <c r="E34" s="775"/>
      <c r="F34" s="775"/>
      <c r="G34" s="822"/>
      <c r="H34" s="889"/>
      <c r="I34" s="936" t="str">
        <f t="shared" si="1"/>
        <v>2.5.1</v>
      </c>
      <c r="J34" s="936" t="str">
        <f t="shared" si="2"/>
        <v>Расходы на оплату труда административно-управленческого персонала</v>
      </c>
      <c r="K34" s="936">
        <f t="shared" si="3"/>
        <v>0</v>
      </c>
      <c r="L34" s="776" t="str">
        <f t="shared" si="4"/>
        <v>2.5.1</v>
      </c>
      <c r="M34" s="776" t="str">
        <f t="shared" si="5"/>
        <v>Расходы на оплату труда административно-управленческого персонала</v>
      </c>
      <c r="N34" s="776" t="str">
        <f t="shared" si="6"/>
        <v/>
      </c>
      <c r="O34" s="888" t="s">
        <v>2075</v>
      </c>
      <c r="P34" s="888" t="s">
        <v>2057</v>
      </c>
      <c r="Q34" s="888" t="s">
        <v>2075</v>
      </c>
      <c r="R34" s="888" t="s">
        <v>2057</v>
      </c>
      <c r="S34" s="888"/>
      <c r="T34" s="897" t="s">
        <v>2076</v>
      </c>
      <c r="U34" s="778" t="s">
        <v>2076</v>
      </c>
      <c r="V34" s="778" t="s">
        <v>2076</v>
      </c>
      <c r="W34" s="778" t="s">
        <v>2077</v>
      </c>
      <c r="X34" s="775"/>
      <c r="Y34" s="931"/>
      <c r="Z34" s="778"/>
      <c r="AA34" s="781"/>
      <c r="AB34" s="778"/>
      <c r="AC34" s="778"/>
      <c r="AD34" s="778"/>
    </row>
    <row r="35" spans="1:30" ht="45" customHeight="1">
      <c r="A35" s="777"/>
      <c r="B35" s="830">
        <v>18</v>
      </c>
      <c r="C35" s="775" t="s">
        <v>2078</v>
      </c>
      <c r="D35" s="898"/>
      <c r="E35" s="775"/>
      <c r="F35" s="775"/>
      <c r="G35" s="822"/>
      <c r="H35" s="889"/>
      <c r="I35" s="936" t="str">
        <f t="shared" si="1"/>
        <v>2.5.2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2.5.2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2079</v>
      </c>
      <c r="P35" s="888" t="s">
        <v>2059</v>
      </c>
      <c r="Q35" s="888" t="s">
        <v>2079</v>
      </c>
      <c r="R35" s="888" t="s">
        <v>2059</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2080</v>
      </c>
      <c r="V35" s="778" t="s">
        <v>2080</v>
      </c>
      <c r="W35" s="778" t="s">
        <v>2080</v>
      </c>
      <c r="X35" s="775"/>
      <c r="Y35" s="931"/>
      <c r="Z35" s="778"/>
      <c r="AA35" s="781"/>
      <c r="AB35" s="778"/>
      <c r="AC35" s="778"/>
      <c r="AD35" s="778"/>
    </row>
    <row r="36" spans="1:30" ht="18" customHeight="1">
      <c r="A36" s="777"/>
      <c r="B36" s="830">
        <v>19</v>
      </c>
      <c r="C36" s="775">
        <v>11</v>
      </c>
      <c r="D36" s="898"/>
      <c r="E36" s="775"/>
      <c r="F36" s="775"/>
      <c r="G36" s="822"/>
      <c r="H36" s="889"/>
      <c r="I36" s="936" t="str">
        <f t="shared" si="1"/>
        <v>2.6</v>
      </c>
      <c r="J36" s="936" t="str">
        <f t="shared" si="2"/>
        <v>Расходы на амортизацию основных средств и нематериальных активов</v>
      </c>
      <c r="K36" s="936">
        <f t="shared" si="3"/>
        <v>0</v>
      </c>
      <c r="L36" s="776" t="str">
        <f t="shared" si="4"/>
        <v>2.6</v>
      </c>
      <c r="M36" s="776" t="str">
        <f t="shared" si="5"/>
        <v>Расходы на амортизацию основных средств и нематериальных активов</v>
      </c>
      <c r="N36" s="776" t="str">
        <f t="shared" si="6"/>
        <v/>
      </c>
      <c r="O36" s="888" t="s">
        <v>740</v>
      </c>
      <c r="P36" s="888" t="s">
        <v>736</v>
      </c>
      <c r="Q36" s="888" t="s">
        <v>740</v>
      </c>
      <c r="R36" s="888" t="s">
        <v>736</v>
      </c>
      <c r="S36" s="888"/>
      <c r="T36" s="895" t="s">
        <v>2081</v>
      </c>
      <c r="U36" s="778" t="s">
        <v>2081</v>
      </c>
      <c r="V36" s="778" t="s">
        <v>2081</v>
      </c>
      <c r="W36" s="778" t="s">
        <v>2081</v>
      </c>
      <c r="X36" s="775"/>
      <c r="Y36" s="931"/>
      <c r="Z36" s="778"/>
      <c r="AA36" s="781"/>
      <c r="AB36" s="778"/>
      <c r="AC36" s="778"/>
      <c r="AD36" s="778"/>
    </row>
    <row r="37" spans="1:30" ht="18" customHeight="1">
      <c r="A37" s="777"/>
      <c r="B37" s="830">
        <v>20</v>
      </c>
      <c r="C37" s="775" t="s">
        <v>2082</v>
      </c>
      <c r="D37" s="898"/>
      <c r="E37" s="775"/>
      <c r="F37" s="775"/>
      <c r="G37" s="822"/>
      <c r="H37" s="889"/>
      <c r="I37" s="936" t="str">
        <f t="shared" si="1"/>
        <v>2.6.1</v>
      </c>
      <c r="J37" s="936" t="str">
        <f t="shared" si="2"/>
        <v>Расходы на амортизацию основных средств</v>
      </c>
      <c r="K37" s="936">
        <f t="shared" si="3"/>
        <v>0</v>
      </c>
      <c r="L37" s="776" t="str">
        <f t="shared" si="4"/>
        <v>2.6.1</v>
      </c>
      <c r="M37" s="776" t="str">
        <f t="shared" si="5"/>
        <v>Расходы на амортизацию основных средств</v>
      </c>
      <c r="N37" s="776" t="str">
        <f t="shared" si="6"/>
        <v/>
      </c>
      <c r="O37" s="888" t="s">
        <v>2083</v>
      </c>
      <c r="P37" s="888" t="s">
        <v>2066</v>
      </c>
      <c r="Q37" s="888" t="s">
        <v>2083</v>
      </c>
      <c r="R37" s="888" t="s">
        <v>2066</v>
      </c>
      <c r="S37" s="888"/>
      <c r="T37" s="895" t="s">
        <v>2084</v>
      </c>
      <c r="U37" s="778" t="s">
        <v>2084</v>
      </c>
      <c r="V37" s="778" t="s">
        <v>2084</v>
      </c>
      <c r="W37" s="778" t="s">
        <v>2084</v>
      </c>
      <c r="X37" s="775"/>
      <c r="Y37" s="931"/>
      <c r="Z37" s="778"/>
      <c r="AA37" s="781"/>
      <c r="AB37" s="778"/>
      <c r="AC37" s="778"/>
      <c r="AD37" s="778"/>
    </row>
    <row r="38" spans="1:30" ht="18" customHeight="1">
      <c r="A38" s="777"/>
      <c r="B38" s="830">
        <v>21</v>
      </c>
      <c r="C38" s="775" t="s">
        <v>2085</v>
      </c>
      <c r="D38" s="898"/>
      <c r="E38" s="775"/>
      <c r="F38" s="775"/>
      <c r="G38" s="822"/>
      <c r="H38" s="889"/>
      <c r="I38" s="936" t="str">
        <f t="shared" si="1"/>
        <v>2.6.2</v>
      </c>
      <c r="J38" s="936" t="str">
        <f t="shared" si="2"/>
        <v>Расходы на амортизацию нематериальных активов</v>
      </c>
      <c r="K38" s="936">
        <f t="shared" si="3"/>
        <v>0</v>
      </c>
      <c r="L38" s="776" t="str">
        <f t="shared" si="4"/>
        <v>2.6.2</v>
      </c>
      <c r="M38" s="776" t="str">
        <f t="shared" si="5"/>
        <v>Расходы на амортизацию нематериальных активов</v>
      </c>
      <c r="N38" s="776" t="str">
        <f t="shared" si="6"/>
        <v/>
      </c>
      <c r="O38" s="888" t="s">
        <v>2086</v>
      </c>
      <c r="P38" s="888" t="s">
        <v>2069</v>
      </c>
      <c r="Q38" s="888" t="s">
        <v>2086</v>
      </c>
      <c r="R38" s="888" t="s">
        <v>2069</v>
      </c>
      <c r="S38" s="888"/>
      <c r="T38" s="895" t="s">
        <v>2087</v>
      </c>
      <c r="U38" s="778" t="s">
        <v>2087</v>
      </c>
      <c r="V38" s="778" t="s">
        <v>2087</v>
      </c>
      <c r="W38" s="778" t="s">
        <v>2087</v>
      </c>
      <c r="X38" s="775"/>
      <c r="Y38" s="931"/>
      <c r="Z38" s="778"/>
      <c r="AA38" s="781"/>
      <c r="AB38" s="778"/>
      <c r="AC38" s="778"/>
      <c r="AD38" s="778"/>
    </row>
    <row r="39" spans="1:30" ht="36" customHeight="1">
      <c r="A39" s="777"/>
      <c r="B39" s="830">
        <v>22</v>
      </c>
      <c r="C39" s="775">
        <v>12</v>
      </c>
      <c r="D39" s="898"/>
      <c r="E39" s="775"/>
      <c r="F39" s="775"/>
      <c r="G39" s="822"/>
      <c r="H39" s="889"/>
      <c r="I39" s="936" t="str">
        <f t="shared" si="1"/>
        <v>2.7</v>
      </c>
      <c r="J39" s="936" t="str">
        <f t="shared" si="2"/>
        <v>Расходы на аренду имущества, используемого для осуществления регулируемых видов деятельности в сфере холодного водоснабжения</v>
      </c>
      <c r="K39" s="936">
        <f t="shared" si="3"/>
        <v>0</v>
      </c>
      <c r="L39" s="776" t="str">
        <f t="shared" si="4"/>
        <v>2.7</v>
      </c>
      <c r="M39" s="776" t="str">
        <f t="shared" si="5"/>
        <v>Расходы на аренду имущества, используемого для осуществления регулируемых видов деятельности в сфере холодного водоснабжения</v>
      </c>
      <c r="N39" s="776" t="str">
        <f t="shared" si="6"/>
        <v/>
      </c>
      <c r="O39" s="888" t="s">
        <v>744</v>
      </c>
      <c r="P39" s="888" t="s">
        <v>738</v>
      </c>
      <c r="Q39" s="888" t="s">
        <v>744</v>
      </c>
      <c r="R39" s="888" t="s">
        <v>738</v>
      </c>
      <c r="S39" s="888"/>
      <c r="T39" s="895" t="s">
        <v>2088</v>
      </c>
      <c r="U39" s="778" t="s">
        <v>2089</v>
      </c>
      <c r="V39" s="778" t="s">
        <v>2090</v>
      </c>
      <c r="W39" s="778" t="s">
        <v>2091</v>
      </c>
      <c r="X39" s="775"/>
      <c r="Y39" s="931"/>
      <c r="Z39" s="778"/>
      <c r="AA39" s="781"/>
      <c r="AB39" s="778"/>
      <c r="AC39" s="778"/>
      <c r="AD39" s="778"/>
    </row>
    <row r="40" spans="1:30" ht="18" customHeight="1">
      <c r="A40" s="777"/>
      <c r="B40" s="830">
        <v>23</v>
      </c>
      <c r="C40" s="775">
        <v>13</v>
      </c>
      <c r="D40" s="898"/>
      <c r="E40" s="775"/>
      <c r="F40" s="775"/>
      <c r="G40" s="775"/>
      <c r="H40" s="825"/>
      <c r="I40" s="936" t="str">
        <f t="shared" si="1"/>
        <v>2.8</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2.8</v>
      </c>
      <c r="M40" s="776" t="str">
        <f t="shared" si="5"/>
        <v>Общепроизводственные расходы, в том числе:</v>
      </c>
      <c r="N40" s="776" t="str">
        <f t="shared" si="6"/>
        <v>Указывается общая сумма общепроизводственных расходов.</v>
      </c>
      <c r="O40" s="888" t="s">
        <v>2092</v>
      </c>
      <c r="P40" s="888" t="s">
        <v>740</v>
      </c>
      <c r="Q40" s="888" t="s">
        <v>2092</v>
      </c>
      <c r="R40" s="888" t="s">
        <v>740</v>
      </c>
      <c r="S40" s="888"/>
      <c r="T40" s="775" t="s">
        <v>2093</v>
      </c>
      <c r="U40" s="775" t="s">
        <v>2093</v>
      </c>
      <c r="V40" s="775" t="s">
        <v>2093</v>
      </c>
      <c r="W40" s="775" t="s">
        <v>2093</v>
      </c>
      <c r="X40" s="775"/>
      <c r="Y40" s="931"/>
      <c r="Z40" s="778" t="s">
        <v>2094</v>
      </c>
      <c r="AA40" s="781" t="s">
        <v>2094</v>
      </c>
      <c r="AB40" s="781" t="s">
        <v>2094</v>
      </c>
      <c r="AC40" s="781" t="s">
        <v>2094</v>
      </c>
      <c r="AD40" s="778"/>
    </row>
    <row r="41" spans="1:30" ht="27" customHeight="1">
      <c r="A41" s="777"/>
      <c r="B41" s="830">
        <v>24</v>
      </c>
      <c r="C41" s="775" t="s">
        <v>2095</v>
      </c>
      <c r="D41" s="898"/>
      <c r="E41" s="775"/>
      <c r="F41" s="775"/>
      <c r="G41" s="775"/>
      <c r="H41" s="822"/>
      <c r="I41" s="936" t="str">
        <f t="shared" si="1"/>
        <v>2.8.1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2.8.1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2096</v>
      </c>
      <c r="P41" s="888" t="s">
        <v>2083</v>
      </c>
      <c r="Q41" s="888" t="s">
        <v>2096</v>
      </c>
      <c r="R41" s="888" t="s">
        <v>2083</v>
      </c>
      <c r="S41" s="888"/>
      <c r="T41" s="775" t="s">
        <v>2097</v>
      </c>
      <c r="U41" s="775" t="s">
        <v>2097</v>
      </c>
      <c r="V41" s="775" t="s">
        <v>2097</v>
      </c>
      <c r="W41" s="775" t="s">
        <v>2097</v>
      </c>
      <c r="X41" s="775"/>
      <c r="Y41" s="931"/>
      <c r="Z41" s="778" t="s">
        <v>2098</v>
      </c>
      <c r="AA41" s="778" t="s">
        <v>2098</v>
      </c>
      <c r="AB41" s="778" t="s">
        <v>2098</v>
      </c>
      <c r="AC41" s="778" t="s">
        <v>2098</v>
      </c>
      <c r="AD41" s="778"/>
    </row>
    <row r="42" spans="1:30" ht="27" customHeight="1">
      <c r="A42" s="777"/>
      <c r="B42" s="830">
        <v>25</v>
      </c>
      <c r="C42" s="775" t="s">
        <v>2099</v>
      </c>
      <c r="D42" s="898"/>
      <c r="E42" s="775"/>
      <c r="F42" s="775"/>
      <c r="G42" s="775"/>
      <c r="H42" s="822"/>
      <c r="I42" s="936" t="str">
        <f t="shared" si="1"/>
        <v>2.8.2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2.8.2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2100</v>
      </c>
      <c r="P42" s="888" t="s">
        <v>2086</v>
      </c>
      <c r="Q42" s="888" t="s">
        <v>2100</v>
      </c>
      <c r="R42" s="888" t="s">
        <v>2086</v>
      </c>
      <c r="S42" s="888"/>
      <c r="T42" s="775" t="s">
        <v>2101</v>
      </c>
      <c r="U42" s="775" t="s">
        <v>2101</v>
      </c>
      <c r="V42" s="775" t="s">
        <v>2101</v>
      </c>
      <c r="W42" s="775" t="s">
        <v>2101</v>
      </c>
      <c r="X42" s="775"/>
      <c r="Y42" s="931"/>
      <c r="Z42" s="778" t="s">
        <v>2102</v>
      </c>
      <c r="AA42" s="778" t="s">
        <v>2102</v>
      </c>
      <c r="AB42" s="778" t="s">
        <v>2102</v>
      </c>
      <c r="AC42" s="778" t="s">
        <v>2102</v>
      </c>
      <c r="AD42" s="778"/>
    </row>
    <row r="43" spans="1:30" ht="18" customHeight="1">
      <c r="A43" s="777"/>
      <c r="B43" s="830">
        <v>26</v>
      </c>
      <c r="C43" s="775">
        <v>14</v>
      </c>
      <c r="D43" s="898"/>
      <c r="E43" s="775"/>
      <c r="F43" s="775"/>
      <c r="G43" s="775"/>
      <c r="H43" s="822"/>
      <c r="I43" s="936" t="str">
        <f t="shared" si="1"/>
        <v>2.9</v>
      </c>
      <c r="J43" s="936" t="str">
        <f t="shared" si="2"/>
        <v>Общехозяйственные расходы, в том числе:</v>
      </c>
      <c r="K43" s="936" t="str">
        <f t="shared" si="3"/>
        <v>Указывается общая сумма общехозяйственных расходов.</v>
      </c>
      <c r="L43" s="776" t="str">
        <f t="shared" si="4"/>
        <v>2.9</v>
      </c>
      <c r="M43" s="776" t="str">
        <f t="shared" si="5"/>
        <v>Общехозяйственные расходы, в том числе:</v>
      </c>
      <c r="N43" s="776" t="str">
        <f t="shared" si="6"/>
        <v>Указывается общая сумма общехозяйственных расходов.</v>
      </c>
      <c r="O43" s="888" t="s">
        <v>2103</v>
      </c>
      <c r="P43" s="888" t="s">
        <v>744</v>
      </c>
      <c r="Q43" s="888" t="s">
        <v>2103</v>
      </c>
      <c r="R43" s="888" t="s">
        <v>744</v>
      </c>
      <c r="S43" s="888"/>
      <c r="T43" s="775" t="s">
        <v>2104</v>
      </c>
      <c r="U43" s="775" t="s">
        <v>2104</v>
      </c>
      <c r="V43" s="775" t="s">
        <v>2104</v>
      </c>
      <c r="W43" s="775" t="s">
        <v>2104</v>
      </c>
      <c r="X43" s="775"/>
      <c r="Y43" s="931"/>
      <c r="Z43" s="778" t="s">
        <v>2105</v>
      </c>
      <c r="AA43" s="778" t="s">
        <v>2105</v>
      </c>
      <c r="AB43" s="778" t="s">
        <v>2105</v>
      </c>
      <c r="AC43" s="778" t="s">
        <v>2105</v>
      </c>
      <c r="AD43" s="778"/>
    </row>
    <row r="44" spans="1:30" ht="27" customHeight="1">
      <c r="A44" s="777"/>
      <c r="B44" s="830">
        <v>27</v>
      </c>
      <c r="C44" s="775" t="s">
        <v>2106</v>
      </c>
      <c r="D44" s="898"/>
      <c r="E44" s="775"/>
      <c r="F44" s="775"/>
      <c r="G44" s="775"/>
      <c r="H44" s="822"/>
      <c r="I44" s="936" t="str">
        <f t="shared" si="1"/>
        <v>2.9.1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2.9.1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2107</v>
      </c>
      <c r="P44" s="888" t="s">
        <v>2108</v>
      </c>
      <c r="Q44" s="888" t="s">
        <v>2107</v>
      </c>
      <c r="R44" s="888" t="s">
        <v>2108</v>
      </c>
      <c r="S44" s="888"/>
      <c r="T44" s="775" t="s">
        <v>2097</v>
      </c>
      <c r="U44" s="775" t="s">
        <v>2097</v>
      </c>
      <c r="V44" s="775" t="s">
        <v>2097</v>
      </c>
      <c r="W44" s="775" t="s">
        <v>2097</v>
      </c>
      <c r="X44" s="775"/>
      <c r="Y44" s="931"/>
      <c r="Z44" s="778" t="s">
        <v>2109</v>
      </c>
      <c r="AA44" s="778" t="s">
        <v>2109</v>
      </c>
      <c r="AB44" s="778" t="s">
        <v>2109</v>
      </c>
      <c r="AC44" s="778" t="s">
        <v>2109</v>
      </c>
      <c r="AD44" s="778"/>
    </row>
    <row r="45" spans="1:30" ht="27" customHeight="1">
      <c r="A45" s="777"/>
      <c r="B45" s="830">
        <v>28</v>
      </c>
      <c r="C45" s="775" t="s">
        <v>2110</v>
      </c>
      <c r="D45" s="898"/>
      <c r="E45" s="775"/>
      <c r="F45" s="775"/>
      <c r="G45" s="775"/>
      <c r="H45" s="822"/>
      <c r="I45" s="936" t="str">
        <f t="shared" si="1"/>
        <v>2.9.2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2.9.2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2111</v>
      </c>
      <c r="P45" s="888" t="s">
        <v>2112</v>
      </c>
      <c r="Q45" s="888" t="s">
        <v>2111</v>
      </c>
      <c r="R45" s="888" t="s">
        <v>2112</v>
      </c>
      <c r="S45" s="888"/>
      <c r="T45" s="775" t="s">
        <v>2101</v>
      </c>
      <c r="U45" s="775" t="s">
        <v>2101</v>
      </c>
      <c r="V45" s="775" t="s">
        <v>2101</v>
      </c>
      <c r="W45" s="775" t="s">
        <v>2101</v>
      </c>
      <c r="X45" s="775"/>
      <c r="Y45" s="931"/>
      <c r="Z45" s="778" t="s">
        <v>2113</v>
      </c>
      <c r="AA45" s="778" t="s">
        <v>2113</v>
      </c>
      <c r="AB45" s="778" t="s">
        <v>2113</v>
      </c>
      <c r="AC45" s="778" t="s">
        <v>2113</v>
      </c>
      <c r="AD45" s="778"/>
    </row>
    <row r="46" spans="1:30" ht="54" customHeight="1">
      <c r="A46" s="777"/>
      <c r="B46" s="830">
        <v>29</v>
      </c>
      <c r="C46" s="775">
        <v>15</v>
      </c>
      <c r="D46" s="898"/>
      <c r="E46" s="775"/>
      <c r="F46" s="775"/>
      <c r="G46" s="775"/>
      <c r="H46" s="822"/>
      <c r="I46" s="936" t="str">
        <f t="shared" si="1"/>
        <v>2.10</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2.10</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2114</v>
      </c>
      <c r="P46" s="888" t="s">
        <v>2092</v>
      </c>
      <c r="Q46" s="888" t="s">
        <v>2114</v>
      </c>
      <c r="R46" s="888" t="s">
        <v>2092</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2115</v>
      </c>
      <c r="V46" s="775" t="s">
        <v>2115</v>
      </c>
      <c r="W46" s="775" t="s">
        <v>2115</v>
      </c>
      <c r="X46" s="775"/>
      <c r="Y46" s="931"/>
      <c r="Z46" s="778" t="s">
        <v>2116</v>
      </c>
      <c r="AA46" s="778" t="s">
        <v>2117</v>
      </c>
      <c r="AB46" s="778" t="s">
        <v>2117</v>
      </c>
      <c r="AC46" s="778" t="s">
        <v>2117</v>
      </c>
      <c r="AD46" s="778"/>
    </row>
    <row r="47" spans="1:30" ht="54" customHeight="1">
      <c r="A47" s="777"/>
      <c r="B47" s="830">
        <v>30</v>
      </c>
      <c r="C47" s="775" t="s">
        <v>2118</v>
      </c>
      <c r="D47" s="898"/>
      <c r="E47" s="775"/>
      <c r="F47" s="775"/>
      <c r="G47" s="775"/>
      <c r="H47" s="822"/>
      <c r="I47" s="936" t="str">
        <f t="shared" si="1"/>
        <v>2.10.1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2.10.1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2119</v>
      </c>
      <c r="P47" s="888" t="s">
        <v>2096</v>
      </c>
      <c r="Q47" s="888" t="s">
        <v>2119</v>
      </c>
      <c r="R47" s="888" t="s">
        <v>2096</v>
      </c>
      <c r="S47" s="888"/>
      <c r="T47" s="775" t="s">
        <v>2120</v>
      </c>
      <c r="U47" s="775" t="s">
        <v>2120</v>
      </c>
      <c r="V47" s="775" t="s">
        <v>2120</v>
      </c>
      <c r="W47" s="775" t="s">
        <v>2120</v>
      </c>
      <c r="X47" s="775"/>
      <c r="Y47" s="931"/>
      <c r="Z47" s="778"/>
      <c r="AA47" s="781"/>
      <c r="AB47" s="781"/>
      <c r="AC47" s="781"/>
      <c r="AD47" s="778"/>
    </row>
    <row r="48" spans="1:30" ht="54" customHeight="1">
      <c r="A48" s="777"/>
      <c r="B48" s="830">
        <v>31</v>
      </c>
      <c r="C48" s="775">
        <v>16</v>
      </c>
      <c r="D48" s="898"/>
      <c r="E48" s="775"/>
      <c r="F48" s="775"/>
      <c r="G48" s="775"/>
      <c r="H48" s="822"/>
      <c r="I48" s="936" t="str">
        <f t="shared" si="1"/>
        <v>2.11</v>
      </c>
      <c r="J48" s="936"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2.11</v>
      </c>
      <c r="M48" s="776"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2103</v>
      </c>
      <c r="Q48" s="888" t="s">
        <v>2121</v>
      </c>
      <c r="R48" s="888" t="s">
        <v>2103</v>
      </c>
      <c r="S48" s="888"/>
      <c r="T48" s="775"/>
      <c r="U48" s="775" t="s">
        <v>2122</v>
      </c>
      <c r="V48" s="775" t="s">
        <v>2123</v>
      </c>
      <c r="W48" s="775" t="s">
        <v>2123</v>
      </c>
      <c r="X48" s="775"/>
      <c r="Y48" s="931"/>
      <c r="Z48" s="778"/>
      <c r="AA48" s="781" t="s">
        <v>2117</v>
      </c>
      <c r="AB48" s="781" t="s">
        <v>2117</v>
      </c>
      <c r="AC48" s="781" t="s">
        <v>2117</v>
      </c>
      <c r="AD48" s="778"/>
    </row>
    <row r="49" spans="1:30" ht="54" customHeight="1">
      <c r="A49" s="777"/>
      <c r="B49" s="830">
        <v>32</v>
      </c>
      <c r="C49" s="775" t="s">
        <v>2124</v>
      </c>
      <c r="D49" s="898"/>
      <c r="E49" s="775"/>
      <c r="F49" s="775"/>
      <c r="G49" s="775"/>
      <c r="H49" s="822"/>
      <c r="I49" s="936" t="str">
        <f t="shared" si="1"/>
        <v>2.11.1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2.11.1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2107</v>
      </c>
      <c r="Q49" s="888" t="s">
        <v>2125</v>
      </c>
      <c r="R49" s="888" t="s">
        <v>2107</v>
      </c>
      <c r="S49" s="888"/>
      <c r="T49" s="775"/>
      <c r="U49" s="775" t="s">
        <v>2120</v>
      </c>
      <c r="V49" s="775" t="s">
        <v>2120</v>
      </c>
      <c r="W49" s="775" t="s">
        <v>2120</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2.12</v>
      </c>
      <c r="J50" s="936"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2.12</v>
      </c>
      <c r="M50" s="776"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2121</v>
      </c>
      <c r="P50" s="888" t="s">
        <v>2114</v>
      </c>
      <c r="Q50" s="888" t="s">
        <v>2126</v>
      </c>
      <c r="R50" s="888" t="s">
        <v>2114</v>
      </c>
      <c r="S50" s="888"/>
      <c r="T50" s="775" t="s">
        <v>2127</v>
      </c>
      <c r="U50" s="775" t="s">
        <v>2128</v>
      </c>
      <c r="V50" s="775" t="s">
        <v>2129</v>
      </c>
      <c r="W50" s="775" t="s">
        <v>2130</v>
      </c>
      <c r="X50" s="775"/>
      <c r="Y50" s="931"/>
      <c r="Z50" s="778" t="s">
        <v>2131</v>
      </c>
      <c r="AA50" s="781" t="s">
        <v>2132</v>
      </c>
      <c r="AB50" s="781" t="s">
        <v>2132</v>
      </c>
      <c r="AC50" s="781" t="s">
        <v>2132</v>
      </c>
      <c r="AD50" s="778"/>
    </row>
    <row r="51" spans="1:30" ht="27" customHeight="1">
      <c r="A51" s="777"/>
      <c r="B51" s="830">
        <v>34</v>
      </c>
      <c r="C51" s="775" t="s">
        <v>2133</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89</v>
      </c>
      <c r="P51" s="888"/>
      <c r="Q51" s="888"/>
      <c r="R51" s="888"/>
      <c r="S51" s="888"/>
      <c r="T51" s="775" t="s">
        <v>2134</v>
      </c>
      <c r="U51" s="775"/>
      <c r="V51" s="775"/>
      <c r="W51" s="775"/>
      <c r="X51" s="775"/>
      <c r="Y51" s="931"/>
      <c r="Z51" s="778"/>
      <c r="AA51" s="781"/>
      <c r="AB51" s="781"/>
      <c r="AC51" s="781"/>
      <c r="AD51" s="778"/>
    </row>
    <row r="52" spans="1:30" ht="36" customHeight="1">
      <c r="A52" s="777"/>
      <c r="B52" s="830">
        <v>35</v>
      </c>
      <c r="C52" s="775" t="s">
        <v>2027</v>
      </c>
      <c r="D52" s="898" t="s">
        <v>2027</v>
      </c>
      <c r="E52" s="775" t="s">
        <v>2027</v>
      </c>
      <c r="F52" s="775" t="s">
        <v>2027</v>
      </c>
      <c r="G52" s="775"/>
      <c r="H52" s="822"/>
      <c r="I52" s="936" t="str">
        <f t="shared" si="7"/>
        <v>3</v>
      </c>
      <c r="J52" s="936" t="str">
        <f t="shared" si="8"/>
        <v>Чистая прибыль, полученная от регулируемого вида деятельности в сфере холодного водоснабжения,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холодного водоснабжения, в том числе:</v>
      </c>
      <c r="N52" s="776" t="str">
        <f t="shared" si="12"/>
        <v>Указывается общая сумма чистой прибыли, полученной от регулируемого вида деятельности.</v>
      </c>
      <c r="O52" s="888" t="s">
        <v>90</v>
      </c>
      <c r="P52" s="888" t="s">
        <v>89</v>
      </c>
      <c r="Q52" s="888" t="s">
        <v>89</v>
      </c>
      <c r="R52" s="888" t="s">
        <v>89</v>
      </c>
      <c r="S52" s="888"/>
      <c r="T52" s="775" t="s">
        <v>2135</v>
      </c>
      <c r="U52" s="775" t="s">
        <v>2136</v>
      </c>
      <c r="V52" s="775" t="s">
        <v>2137</v>
      </c>
      <c r="W52" s="775" t="s">
        <v>2138</v>
      </c>
      <c r="X52" s="775"/>
      <c r="Y52" s="931"/>
      <c r="Z52" s="778" t="s">
        <v>748</v>
      </c>
      <c r="AA52" s="781" t="s">
        <v>748</v>
      </c>
      <c r="AB52" s="781" t="s">
        <v>748</v>
      </c>
      <c r="AC52" s="781" t="s">
        <v>748</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752</v>
      </c>
      <c r="P53" s="888" t="s">
        <v>322</v>
      </c>
      <c r="Q53" s="888" t="s">
        <v>322</v>
      </c>
      <c r="R53" s="888" t="s">
        <v>322</v>
      </c>
      <c r="S53" s="888"/>
      <c r="T53" s="775" t="s">
        <v>2139</v>
      </c>
      <c r="U53" s="775" t="s">
        <v>2139</v>
      </c>
      <c r="V53" s="775" t="s">
        <v>2139</v>
      </c>
      <c r="W53" s="775" t="s">
        <v>2139</v>
      </c>
      <c r="X53" s="775"/>
      <c r="Y53" s="931"/>
      <c r="Z53" s="778"/>
      <c r="AA53" s="781"/>
      <c r="AB53" s="778"/>
      <c r="AC53" s="778"/>
      <c r="AD53" s="778"/>
    </row>
    <row r="54" spans="1:30" ht="18" customHeight="1">
      <c r="A54" s="777"/>
      <c r="B54" s="830">
        <v>37</v>
      </c>
      <c r="C54" s="775" t="s">
        <v>2033</v>
      </c>
      <c r="D54" s="898" t="s">
        <v>2033</v>
      </c>
      <c r="E54" s="775" t="s">
        <v>2033</v>
      </c>
      <c r="F54" s="775" t="s">
        <v>2033</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110</v>
      </c>
      <c r="P54" s="888" t="s">
        <v>90</v>
      </c>
      <c r="Q54" s="888" t="s">
        <v>90</v>
      </c>
      <c r="R54" s="888" t="s">
        <v>90</v>
      </c>
      <c r="S54" s="888"/>
      <c r="T54" s="775" t="s">
        <v>750</v>
      </c>
      <c r="U54" s="775" t="s">
        <v>750</v>
      </c>
      <c r="V54" s="775" t="s">
        <v>750</v>
      </c>
      <c r="W54" s="775" t="s">
        <v>750</v>
      </c>
      <c r="X54" s="775"/>
      <c r="Y54" s="931"/>
      <c r="Z54" s="778" t="s">
        <v>751</v>
      </c>
      <c r="AA54" s="778" t="s">
        <v>751</v>
      </c>
      <c r="AB54" s="778" t="s">
        <v>751</v>
      </c>
      <c r="AC54" s="778" t="s">
        <v>751</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311</v>
      </c>
      <c r="P55" s="888" t="s">
        <v>752</v>
      </c>
      <c r="Q55" s="888" t="s">
        <v>752</v>
      </c>
      <c r="R55" s="888" t="s">
        <v>752</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2140</v>
      </c>
      <c r="V55" s="775" t="s">
        <v>2140</v>
      </c>
      <c r="W55" s="775" t="s">
        <v>2140</v>
      </c>
      <c r="X55" s="775"/>
      <c r="Y55" s="931"/>
      <c r="Z55" s="778" t="s">
        <v>2141</v>
      </c>
      <c r="AA55" s="778" t="s">
        <v>2141</v>
      </c>
      <c r="AB55" s="778" t="s">
        <v>2141</v>
      </c>
      <c r="AC55" s="778" t="s">
        <v>2141</v>
      </c>
      <c r="AD55" s="778"/>
    </row>
    <row r="56" spans="1:30" ht="27" customHeight="1">
      <c r="A56" s="777"/>
      <c r="B56" s="830">
        <v>39</v>
      </c>
      <c r="C56" s="775" t="s">
        <v>1020</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1138</v>
      </c>
      <c r="P56" s="888" t="s">
        <v>755</v>
      </c>
      <c r="Q56" s="888" t="s">
        <v>755</v>
      </c>
      <c r="R56" s="888" t="s">
        <v>755</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2142</v>
      </c>
      <c r="V56" s="775" t="s">
        <v>2142</v>
      </c>
      <c r="W56" s="775" t="s">
        <v>2142</v>
      </c>
      <c r="X56" s="775"/>
      <c r="Y56" s="931"/>
      <c r="Z56" s="778" t="s">
        <v>757</v>
      </c>
      <c r="AA56" s="778" t="s">
        <v>757</v>
      </c>
      <c r="AB56" s="778" t="s">
        <v>757</v>
      </c>
      <c r="AC56" s="778" t="s">
        <v>757</v>
      </c>
      <c r="AD56" s="778"/>
    </row>
    <row r="57" spans="1:30" ht="27" customHeight="1">
      <c r="A57" s="777"/>
      <c r="B57" s="830">
        <v>40</v>
      </c>
      <c r="C57" s="775" t="s">
        <v>1022</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2143</v>
      </c>
      <c r="P57" s="888" t="s">
        <v>758</v>
      </c>
      <c r="Q57" s="888" t="s">
        <v>758</v>
      </c>
      <c r="R57" s="888" t="s">
        <v>758</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2144</v>
      </c>
      <c r="V57" s="775" t="s">
        <v>2144</v>
      </c>
      <c r="W57" s="775" t="s">
        <v>2144</v>
      </c>
      <c r="X57" s="775"/>
      <c r="Y57" s="931"/>
      <c r="Z57" s="778" t="s">
        <v>760</v>
      </c>
      <c r="AA57" s="778" t="s">
        <v>760</v>
      </c>
      <c r="AB57" s="778" t="s">
        <v>760</v>
      </c>
      <c r="AC57" s="778" t="s">
        <v>760</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880</v>
      </c>
      <c r="P58" s="888" t="s">
        <v>794</v>
      </c>
      <c r="Q58" s="888" t="s">
        <v>794</v>
      </c>
      <c r="R58" s="888" t="s">
        <v>794</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2145</v>
      </c>
      <c r="V58" s="775" t="s">
        <v>2145</v>
      </c>
      <c r="W58" s="775" t="s">
        <v>2145</v>
      </c>
      <c r="X58" s="775"/>
      <c r="Y58" s="931"/>
      <c r="Z58" s="778"/>
      <c r="AA58" s="781"/>
      <c r="AB58" s="778"/>
      <c r="AC58" s="778"/>
      <c r="AD58" s="778"/>
    </row>
    <row r="59" spans="1:30" ht="36" customHeight="1">
      <c r="A59" s="777"/>
      <c r="B59" s="830">
        <v>42</v>
      </c>
      <c r="C59" s="775">
        <v>3</v>
      </c>
      <c r="D59" s="898" t="s">
        <v>2133</v>
      </c>
      <c r="E59" s="775" t="s">
        <v>2133</v>
      </c>
      <c r="F59" s="775" t="s">
        <v>2133</v>
      </c>
      <c r="G59" s="775"/>
      <c r="H59" s="822"/>
      <c r="I59" s="936" t="str">
        <f t="shared" si="7"/>
        <v>5</v>
      </c>
      <c r="J59" s="936" t="str">
        <f t="shared" si="8"/>
        <v>Валовая прибыль (убытки) от продажи товаров и услуг по регулируемым видам деятельности в сфере холодного водоснабжения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холодного водоснабжения</v>
      </c>
      <c r="N59" s="776" t="str">
        <f t="shared" si="12"/>
        <v/>
      </c>
      <c r="O59" s="888"/>
      <c r="P59" s="888" t="s">
        <v>110</v>
      </c>
      <c r="Q59" s="888" t="s">
        <v>110</v>
      </c>
      <c r="R59" s="888" t="s">
        <v>110</v>
      </c>
      <c r="S59" s="888"/>
      <c r="T59" s="775"/>
      <c r="U59" s="775" t="s">
        <v>2146</v>
      </c>
      <c r="V59" s="775" t="s">
        <v>2147</v>
      </c>
      <c r="W59" s="775" t="s">
        <v>2148</v>
      </c>
      <c r="X59" s="775"/>
      <c r="Y59" s="931"/>
      <c r="Z59" s="778"/>
      <c r="AA59" s="781"/>
      <c r="AB59" s="778"/>
      <c r="AC59" s="778"/>
      <c r="AD59" s="778"/>
    </row>
    <row r="60" spans="1:30" ht="81" customHeight="1">
      <c r="A60" s="777"/>
      <c r="B60" s="830">
        <v>43</v>
      </c>
      <c r="C60" s="775" t="s">
        <v>2149</v>
      </c>
      <c r="D60" s="898" t="s">
        <v>2149</v>
      </c>
      <c r="E60" s="775" t="s">
        <v>2149</v>
      </c>
      <c r="F60" s="775" t="s">
        <v>2149</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8" t="s">
        <v>91</v>
      </c>
      <c r="P60" s="888" t="s">
        <v>91</v>
      </c>
      <c r="Q60" s="888" t="s">
        <v>91</v>
      </c>
      <c r="R60" s="888" t="s">
        <v>91</v>
      </c>
      <c r="S60" s="888"/>
      <c r="T60" s="775" t="s">
        <v>627</v>
      </c>
      <c r="U60" s="775" t="s">
        <v>627</v>
      </c>
      <c r="V60" s="775" t="s">
        <v>627</v>
      </c>
      <c r="W60" s="775" t="s">
        <v>627</v>
      </c>
      <c r="X60" s="775"/>
      <c r="Y60" s="931"/>
      <c r="Z60" s="778" t="s">
        <v>2150</v>
      </c>
      <c r="AA60" s="781" t="s">
        <v>2151</v>
      </c>
      <c r="AB60" s="778" t="s">
        <v>2152</v>
      </c>
      <c r="AC60" s="778" t="s">
        <v>2151</v>
      </c>
      <c r="AD60" s="778"/>
    </row>
    <row r="61" spans="1:30" ht="9" customHeight="1">
      <c r="A61" s="777"/>
      <c r="B61" s="830">
        <v>44</v>
      </c>
      <c r="C61" s="775"/>
      <c r="D61" s="898" t="s">
        <v>2153</v>
      </c>
      <c r="E61" s="775"/>
      <c r="F61" s="775"/>
      <c r="G61" s="775"/>
      <c r="H61" s="822"/>
      <c r="I61" s="936" t="str">
        <f t="shared" si="7"/>
        <v>7</v>
      </c>
      <c r="J61" s="936" t="str">
        <f t="shared" si="8"/>
        <v>Объём поднятой воды</v>
      </c>
      <c r="K61" s="936">
        <f t="shared" si="9"/>
        <v>0</v>
      </c>
      <c r="L61" s="776" t="str">
        <f t="shared" si="10"/>
        <v>7</v>
      </c>
      <c r="M61" s="776" t="str">
        <f t="shared" si="11"/>
        <v>Объём поднятой воды</v>
      </c>
      <c r="N61" s="776" t="str">
        <f t="shared" si="12"/>
        <v/>
      </c>
      <c r="O61" s="888"/>
      <c r="P61" s="888" t="s">
        <v>92</v>
      </c>
      <c r="Q61" s="888"/>
      <c r="R61" s="888"/>
      <c r="S61" s="888"/>
      <c r="T61" s="775"/>
      <c r="U61" s="775" t="s">
        <v>2154</v>
      </c>
      <c r="V61" s="775"/>
      <c r="W61" s="775"/>
      <c r="X61" s="775"/>
      <c r="Y61" s="931"/>
      <c r="Z61" s="778"/>
      <c r="AA61" s="781"/>
      <c r="AB61" s="778"/>
      <c r="AC61" s="778"/>
      <c r="AD61" s="778"/>
    </row>
    <row r="62" spans="1:30" ht="9" customHeight="1">
      <c r="A62" s="777"/>
      <c r="B62" s="830">
        <v>45</v>
      </c>
      <c r="C62" s="775"/>
      <c r="D62" s="898" t="s">
        <v>2155</v>
      </c>
      <c r="E62" s="775"/>
      <c r="F62" s="775"/>
      <c r="G62" s="775"/>
      <c r="H62" s="822"/>
      <c r="I62" s="936" t="str">
        <f t="shared" si="7"/>
        <v>8</v>
      </c>
      <c r="J62" s="936" t="str">
        <f t="shared" si="8"/>
        <v>Объём покупной воды</v>
      </c>
      <c r="K62" s="936">
        <f t="shared" si="9"/>
        <v>0</v>
      </c>
      <c r="L62" s="776" t="str">
        <f t="shared" si="10"/>
        <v>8</v>
      </c>
      <c r="M62" s="776" t="str">
        <f t="shared" si="11"/>
        <v>Объём покупной воды</v>
      </c>
      <c r="N62" s="776" t="str">
        <f t="shared" si="12"/>
        <v/>
      </c>
      <c r="O62" s="888"/>
      <c r="P62" s="888" t="s">
        <v>111</v>
      </c>
      <c r="Q62" s="888"/>
      <c r="R62" s="888"/>
      <c r="S62" s="888"/>
      <c r="T62" s="775"/>
      <c r="U62" s="775" t="s">
        <v>2156</v>
      </c>
      <c r="V62" s="775"/>
      <c r="W62" s="775"/>
      <c r="X62" s="775"/>
      <c r="Y62" s="931"/>
      <c r="Z62" s="778"/>
      <c r="AA62" s="781"/>
      <c r="AB62" s="778"/>
      <c r="AC62" s="778"/>
      <c r="AD62" s="778"/>
    </row>
    <row r="63" spans="1:30" ht="18" customHeight="1">
      <c r="A63" s="777"/>
      <c r="B63" s="830">
        <v>46</v>
      </c>
      <c r="C63" s="775"/>
      <c r="D63" s="898" t="s">
        <v>2157</v>
      </c>
      <c r="E63" s="775"/>
      <c r="F63" s="775"/>
      <c r="G63" s="775"/>
      <c r="H63" s="822"/>
      <c r="I63" s="936" t="str">
        <f t="shared" si="7"/>
        <v>9</v>
      </c>
      <c r="J63" s="936" t="str">
        <f t="shared" si="8"/>
        <v>Объём воды, пропущенной через очистные сооружения</v>
      </c>
      <c r="K63" s="936">
        <f t="shared" si="9"/>
        <v>0</v>
      </c>
      <c r="L63" s="776" t="str">
        <f t="shared" si="10"/>
        <v>9</v>
      </c>
      <c r="M63" s="776" t="str">
        <f t="shared" si="11"/>
        <v>Объём воды, пропущенной через очистные сооружения</v>
      </c>
      <c r="N63" s="776" t="str">
        <f t="shared" si="12"/>
        <v/>
      </c>
      <c r="O63" s="888"/>
      <c r="P63" s="888" t="s">
        <v>148</v>
      </c>
      <c r="Q63" s="888"/>
      <c r="R63" s="888"/>
      <c r="S63" s="888"/>
      <c r="T63" s="775"/>
      <c r="U63" s="775" t="s">
        <v>2158</v>
      </c>
      <c r="V63" s="775"/>
      <c r="W63" s="775"/>
      <c r="X63" s="775"/>
      <c r="Y63" s="931"/>
      <c r="Z63" s="778"/>
      <c r="AA63" s="781"/>
      <c r="AB63" s="778"/>
      <c r="AC63" s="778"/>
      <c r="AD63" s="778"/>
    </row>
    <row r="64" spans="1:30" ht="18" customHeight="1">
      <c r="A64" s="777"/>
      <c r="B64" s="830">
        <v>47</v>
      </c>
      <c r="C64" s="775"/>
      <c r="D64" s="898" t="s">
        <v>2159</v>
      </c>
      <c r="E64" s="775"/>
      <c r="F64" s="775"/>
      <c r="G64" s="775"/>
      <c r="H64" s="822"/>
      <c r="I64" s="936" t="str">
        <f t="shared" si="7"/>
        <v>10</v>
      </c>
      <c r="J64" s="936" t="str">
        <f t="shared" si="8"/>
        <v>Объём отпущенной потребителям воды, в том числе:</v>
      </c>
      <c r="K64" s="936" t="str">
        <f t="shared" si="9"/>
        <v>Указывается общий объем отпущенной потребителям воды.</v>
      </c>
      <c r="L64" s="776" t="str">
        <f t="shared" si="10"/>
        <v>10</v>
      </c>
      <c r="M64" s="776" t="str">
        <f t="shared" si="11"/>
        <v>Объём отпущенной потребителям воды, в том числе:</v>
      </c>
      <c r="N64" s="776" t="str">
        <f t="shared" si="12"/>
        <v>Указывается общий объем отпущенной потребителям воды.</v>
      </c>
      <c r="O64" s="888"/>
      <c r="P64" s="888" t="s">
        <v>149</v>
      </c>
      <c r="Q64" s="888"/>
      <c r="R64" s="888"/>
      <c r="S64" s="888"/>
      <c r="T64" s="775"/>
      <c r="U64" s="775" t="s">
        <v>2160</v>
      </c>
      <c r="V64" s="775"/>
      <c r="W64" s="775"/>
      <c r="X64" s="775"/>
      <c r="Y64" s="931"/>
      <c r="Z64" s="778"/>
      <c r="AA64" s="781" t="s">
        <v>2161</v>
      </c>
      <c r="AB64" s="778"/>
      <c r="AC64" s="778"/>
      <c r="AD64" s="778"/>
    </row>
    <row r="65" spans="1:30" ht="18" customHeight="1">
      <c r="A65" s="777"/>
      <c r="B65" s="830">
        <v>48</v>
      </c>
      <c r="C65" s="775"/>
      <c r="D65" s="898"/>
      <c r="E65" s="775"/>
      <c r="F65" s="775"/>
      <c r="G65" s="775"/>
      <c r="H65" s="822"/>
      <c r="I65" s="936" t="str">
        <f t="shared" si="7"/>
        <v>10.1</v>
      </c>
      <c r="J65" s="936" t="str">
        <f t="shared" si="8"/>
        <v>Объём отпущенной потребителям воды, определенный по приборам учета</v>
      </c>
      <c r="K65" s="936">
        <f t="shared" si="9"/>
        <v>0</v>
      </c>
      <c r="L65" s="776" t="str">
        <f t="shared" si="10"/>
        <v>10.1</v>
      </c>
      <c r="M65" s="776" t="str">
        <f t="shared" si="11"/>
        <v>Объём отпущенной потребителям воды, определенный по приборам учета</v>
      </c>
      <c r="N65" s="776" t="str">
        <f t="shared" si="12"/>
        <v/>
      </c>
      <c r="O65" s="888"/>
      <c r="P65" s="888" t="s">
        <v>2074</v>
      </c>
      <c r="Q65" s="888"/>
      <c r="R65" s="888"/>
      <c r="S65" s="888"/>
      <c r="T65" s="775"/>
      <c r="U65" s="775" t="s">
        <v>2162</v>
      </c>
      <c r="V65" s="775"/>
      <c r="W65" s="775"/>
      <c r="X65" s="775"/>
      <c r="Y65" s="931"/>
      <c r="Z65" s="778"/>
      <c r="AA65" s="781"/>
      <c r="AB65" s="778"/>
      <c r="AC65" s="778"/>
      <c r="AD65" s="778"/>
    </row>
    <row r="66" spans="1:30" ht="18" customHeight="1">
      <c r="A66" s="777"/>
      <c r="B66" s="830">
        <v>49</v>
      </c>
      <c r="C66" s="775"/>
      <c r="D66" s="898"/>
      <c r="E66" s="775"/>
      <c r="F66" s="775"/>
      <c r="G66" s="775"/>
      <c r="H66" s="822"/>
      <c r="I66" s="936" t="str">
        <f t="shared" si="7"/>
        <v>10.2</v>
      </c>
      <c r="J66" s="936" t="str">
        <f t="shared" si="8"/>
        <v>Объём отпущенной потребителям воды, определенный расчетным способом</v>
      </c>
      <c r="K66" s="936">
        <f t="shared" si="9"/>
        <v>0</v>
      </c>
      <c r="L66" s="776" t="str">
        <f t="shared" si="10"/>
        <v>10.2</v>
      </c>
      <c r="M66" s="776" t="str">
        <f t="shared" si="11"/>
        <v>Объём отпущенной потребителям воды, определенный расчетным способом</v>
      </c>
      <c r="N66" s="776" t="str">
        <f t="shared" si="12"/>
        <v/>
      </c>
      <c r="O66" s="888"/>
      <c r="P66" s="888" t="s">
        <v>2078</v>
      </c>
      <c r="Q66" s="888"/>
      <c r="R66" s="888"/>
      <c r="S66" s="888"/>
      <c r="T66" s="775"/>
      <c r="U66" s="775" t="s">
        <v>2163</v>
      </c>
      <c r="V66" s="775"/>
      <c r="W66" s="775"/>
      <c r="X66" s="775"/>
      <c r="Y66" s="931"/>
      <c r="Z66" s="778"/>
      <c r="AA66" s="781"/>
      <c r="AB66" s="778"/>
      <c r="AC66" s="778"/>
      <c r="AD66" s="778"/>
    </row>
    <row r="67" spans="1:30" ht="27" customHeight="1">
      <c r="A67" s="777"/>
      <c r="B67" s="830">
        <v>50</v>
      </c>
      <c r="C67" s="775"/>
      <c r="D67" s="898"/>
      <c r="E67" s="775"/>
      <c r="F67" s="775"/>
      <c r="G67" s="775"/>
      <c r="H67" s="822"/>
      <c r="I67" s="936" t="str">
        <f t="shared" si="7"/>
        <v>10.2.1</v>
      </c>
      <c r="J67" s="936" t="str">
        <f t="shared" si="8"/>
        <v>Объём отпущенной потребителям воды, определенный по нормативам потребления коммунальных услуг</v>
      </c>
      <c r="K67" s="936">
        <f t="shared" si="9"/>
        <v>0</v>
      </c>
      <c r="L67" s="776" t="str">
        <f t="shared" si="10"/>
        <v>10.2.1</v>
      </c>
      <c r="M67" s="776" t="str">
        <f t="shared" si="11"/>
        <v>Объём отпущенной потребителям воды, определенный по нормативам потребления коммунальных услуг</v>
      </c>
      <c r="N67" s="776" t="str">
        <f t="shared" si="12"/>
        <v/>
      </c>
      <c r="O67" s="888"/>
      <c r="P67" s="888" t="s">
        <v>2164</v>
      </c>
      <c r="Q67" s="888"/>
      <c r="R67" s="888"/>
      <c r="S67" s="888"/>
      <c r="T67" s="775"/>
      <c r="U67" s="775" t="s">
        <v>2165</v>
      </c>
      <c r="V67" s="775"/>
      <c r="W67" s="775"/>
      <c r="X67" s="775"/>
      <c r="Y67" s="931"/>
      <c r="Z67" s="778"/>
      <c r="AA67" s="781"/>
      <c r="AB67" s="778"/>
      <c r="AC67" s="778"/>
      <c r="AD67" s="778"/>
    </row>
    <row r="68" spans="1:30" ht="27" customHeight="1">
      <c r="A68" s="777"/>
      <c r="B68" s="830">
        <v>51</v>
      </c>
      <c r="C68" s="775"/>
      <c r="D68" s="898"/>
      <c r="E68" s="775"/>
      <c r="F68" s="775"/>
      <c r="G68" s="775"/>
      <c r="H68" s="822"/>
      <c r="I68" s="936" t="str">
        <f t="shared" si="7"/>
        <v>10.2.2</v>
      </c>
      <c r="J68" s="936" t="str">
        <f t="shared" si="8"/>
        <v xml:space="preserve">Объём отпущенной потребителям воды, определенный по нормативам потребления коммунальных ресурсов </v>
      </c>
      <c r="K68" s="936">
        <f t="shared" si="9"/>
        <v>0</v>
      </c>
      <c r="L68" s="776" t="str">
        <f t="shared" si="10"/>
        <v>10.2.2</v>
      </c>
      <c r="M68" s="776" t="str">
        <f t="shared" si="11"/>
        <v xml:space="preserve">Объём отпущенной потребителям воды, определенный по нормативам потребления коммунальных ресурсов </v>
      </c>
      <c r="N68" s="776" t="str">
        <f t="shared" si="12"/>
        <v/>
      </c>
      <c r="O68" s="888"/>
      <c r="P68" s="888" t="s">
        <v>2166</v>
      </c>
      <c r="Q68" s="888"/>
      <c r="R68" s="888"/>
      <c r="S68" s="888"/>
      <c r="T68" s="775"/>
      <c r="U68" s="775" t="s">
        <v>2167</v>
      </c>
      <c r="V68" s="775"/>
      <c r="W68" s="775"/>
      <c r="X68" s="775"/>
      <c r="Y68" s="931"/>
      <c r="Z68" s="778"/>
      <c r="AA68" s="781"/>
      <c r="AB68" s="778"/>
      <c r="AC68" s="778"/>
      <c r="AD68" s="778"/>
    </row>
    <row r="69" spans="1:30" ht="9" customHeight="1">
      <c r="A69" s="777"/>
      <c r="B69" s="830">
        <v>52</v>
      </c>
      <c r="C69" s="775"/>
      <c r="D69" s="898" t="s">
        <v>2168</v>
      </c>
      <c r="E69" s="775"/>
      <c r="F69" s="775"/>
      <c r="G69" s="775"/>
      <c r="H69" s="822"/>
      <c r="I69" s="936" t="str">
        <f t="shared" si="7"/>
        <v>11</v>
      </c>
      <c r="J69" s="936" t="str">
        <f t="shared" si="8"/>
        <v>Потери воды в сетях</v>
      </c>
      <c r="K69" s="936">
        <f t="shared" si="9"/>
        <v>0</v>
      </c>
      <c r="L69" s="776" t="str">
        <f t="shared" si="10"/>
        <v>11</v>
      </c>
      <c r="M69" s="776" t="str">
        <f t="shared" si="11"/>
        <v>Потери воды в сетях</v>
      </c>
      <c r="N69" s="776" t="str">
        <f t="shared" si="12"/>
        <v/>
      </c>
      <c r="O69" s="888"/>
      <c r="P69" s="888" t="s">
        <v>150</v>
      </c>
      <c r="Q69" s="888"/>
      <c r="R69" s="888"/>
      <c r="S69" s="888"/>
      <c r="T69" s="775"/>
      <c r="U69" s="775" t="s">
        <v>2169</v>
      </c>
      <c r="V69" s="775"/>
      <c r="W69" s="775"/>
      <c r="X69" s="775"/>
      <c r="Y69" s="931"/>
      <c r="Z69" s="778"/>
      <c r="AA69" s="781"/>
      <c r="AB69" s="778"/>
      <c r="AC69" s="778"/>
      <c r="AD69" s="778"/>
    </row>
    <row r="70" spans="1:30" ht="27" customHeight="1">
      <c r="A70" s="777"/>
      <c r="B70" s="830">
        <v>53</v>
      </c>
      <c r="C70" s="775"/>
      <c r="D70" s="898"/>
      <c r="E70" s="775" t="s">
        <v>2153</v>
      </c>
      <c r="F70" s="775"/>
      <c r="G70" s="775"/>
      <c r="H70" s="822"/>
      <c r="I70" s="936">
        <f t="shared" si="7"/>
        <v>0</v>
      </c>
      <c r="J70" s="936">
        <f t="shared" si="8"/>
        <v>0</v>
      </c>
      <c r="K70" s="936">
        <f t="shared" si="9"/>
        <v>0</v>
      </c>
      <c r="L70" s="776" t="str">
        <f t="shared" si="10"/>
        <v/>
      </c>
      <c r="M70" s="776" t="str">
        <f t="shared" si="11"/>
        <v/>
      </c>
      <c r="N70" s="776" t="str">
        <f t="shared" si="12"/>
        <v/>
      </c>
      <c r="O70" s="888"/>
      <c r="P70" s="888"/>
      <c r="Q70" s="888" t="s">
        <v>92</v>
      </c>
      <c r="R70" s="888"/>
      <c r="S70" s="888"/>
      <c r="T70" s="775"/>
      <c r="U70" s="775"/>
      <c r="V70" s="775" t="s">
        <v>2170</v>
      </c>
      <c r="W70" s="775"/>
      <c r="X70" s="775"/>
      <c r="Y70" s="931"/>
      <c r="Z70" s="778"/>
      <c r="AA70" s="781"/>
      <c r="AB70" s="778"/>
      <c r="AC70" s="778"/>
      <c r="AD70" s="778"/>
    </row>
    <row r="71" spans="1:30" ht="36" customHeight="1">
      <c r="A71" s="777"/>
      <c r="B71" s="830">
        <v>54</v>
      </c>
      <c r="C71" s="775"/>
      <c r="D71" s="898"/>
      <c r="E71" s="775" t="s">
        <v>2155</v>
      </c>
      <c r="F71" s="775"/>
      <c r="G71" s="775"/>
      <c r="H71" s="822"/>
      <c r="I71" s="936">
        <f t="shared" si="7"/>
        <v>0</v>
      </c>
      <c r="J71" s="936">
        <f t="shared" si="8"/>
        <v>0</v>
      </c>
      <c r="K71" s="936">
        <f t="shared" si="9"/>
        <v>0</v>
      </c>
      <c r="L71" s="776" t="str">
        <f t="shared" si="10"/>
        <v/>
      </c>
      <c r="M71" s="776" t="str">
        <f t="shared" si="11"/>
        <v/>
      </c>
      <c r="N71" s="776" t="str">
        <f t="shared" si="12"/>
        <v/>
      </c>
      <c r="O71" s="888"/>
      <c r="P71" s="888"/>
      <c r="Q71" s="888" t="s">
        <v>111</v>
      </c>
      <c r="R71" s="888"/>
      <c r="S71" s="888"/>
      <c r="T71" s="775"/>
      <c r="U71" s="775"/>
      <c r="V71" s="775" t="s">
        <v>2171</v>
      </c>
      <c r="W71" s="775"/>
      <c r="X71" s="775"/>
      <c r="Y71" s="931"/>
      <c r="Z71" s="778"/>
      <c r="AA71" s="781"/>
      <c r="AB71" s="778"/>
      <c r="AC71" s="778"/>
      <c r="AD71" s="778"/>
    </row>
    <row r="72" spans="1:30" ht="27" customHeight="1">
      <c r="A72" s="777"/>
      <c r="B72" s="830">
        <v>55</v>
      </c>
      <c r="C72" s="775"/>
      <c r="D72" s="898"/>
      <c r="E72" s="775" t="s">
        <v>2157</v>
      </c>
      <c r="F72" s="775"/>
      <c r="G72" s="775"/>
      <c r="H72" s="822"/>
      <c r="I72" s="936">
        <f t="shared" si="7"/>
        <v>0</v>
      </c>
      <c r="J72" s="936">
        <f t="shared" si="8"/>
        <v>0</v>
      </c>
      <c r="K72" s="936">
        <f t="shared" si="9"/>
        <v>0</v>
      </c>
      <c r="L72" s="776" t="str">
        <f t="shared" si="10"/>
        <v/>
      </c>
      <c r="M72" s="776" t="str">
        <f t="shared" si="11"/>
        <v/>
      </c>
      <c r="N72" s="776" t="str">
        <f t="shared" si="12"/>
        <v/>
      </c>
      <c r="O72" s="888"/>
      <c r="P72" s="888"/>
      <c r="Q72" s="888" t="s">
        <v>148</v>
      </c>
      <c r="R72" s="888"/>
      <c r="S72" s="888"/>
      <c r="T72" s="775"/>
      <c r="U72" s="775"/>
      <c r="V72" s="775" t="s">
        <v>2172</v>
      </c>
      <c r="W72" s="775"/>
      <c r="X72" s="775"/>
      <c r="Y72" s="931"/>
      <c r="Z72" s="778"/>
      <c r="AA72" s="781"/>
      <c r="AB72" s="778"/>
      <c r="AC72" s="778"/>
      <c r="AD72" s="778"/>
    </row>
    <row r="73" spans="1:30" ht="36" customHeight="1">
      <c r="A73" s="777"/>
      <c r="B73" s="830">
        <v>56</v>
      </c>
      <c r="C73" s="775"/>
      <c r="D73" s="898"/>
      <c r="E73" s="775" t="s">
        <v>2159</v>
      </c>
      <c r="F73" s="775"/>
      <c r="G73" s="775"/>
      <c r="H73" s="822"/>
      <c r="I73" s="936">
        <f t="shared" si="7"/>
        <v>0</v>
      </c>
      <c r="J73" s="936">
        <f t="shared" si="8"/>
        <v>0</v>
      </c>
      <c r="K73" s="936">
        <f t="shared" si="9"/>
        <v>0</v>
      </c>
      <c r="L73" s="776" t="str">
        <f t="shared" si="10"/>
        <v/>
      </c>
      <c r="M73" s="776" t="str">
        <f t="shared" si="11"/>
        <v/>
      </c>
      <c r="N73" s="776" t="str">
        <f t="shared" si="12"/>
        <v/>
      </c>
      <c r="O73" s="888"/>
      <c r="P73" s="888"/>
      <c r="Q73" s="888" t="s">
        <v>149</v>
      </c>
      <c r="R73" s="888"/>
      <c r="S73" s="888"/>
      <c r="T73" s="775"/>
      <c r="U73" s="775"/>
      <c r="V73" s="775" t="s">
        <v>2173</v>
      </c>
      <c r="W73" s="775"/>
      <c r="X73" s="775"/>
      <c r="Y73" s="931"/>
      <c r="Z73" s="778"/>
      <c r="AA73" s="781"/>
      <c r="AB73" s="778"/>
      <c r="AC73" s="778"/>
      <c r="AD73" s="778"/>
    </row>
    <row r="74" spans="1:30" ht="18" customHeight="1">
      <c r="A74" s="777"/>
      <c r="B74" s="830">
        <v>57</v>
      </c>
      <c r="C74" s="775"/>
      <c r="D74" s="898"/>
      <c r="E74" s="775" t="s">
        <v>2168</v>
      </c>
      <c r="F74" s="775"/>
      <c r="G74" s="775"/>
      <c r="H74" s="822"/>
      <c r="I74" s="936">
        <f t="shared" si="7"/>
        <v>0</v>
      </c>
      <c r="J74" s="936">
        <f t="shared" si="8"/>
        <v>0</v>
      </c>
      <c r="K74" s="936">
        <f t="shared" si="9"/>
        <v>0</v>
      </c>
      <c r="L74" s="776" t="str">
        <f t="shared" si="10"/>
        <v/>
      </c>
      <c r="M74" s="776" t="str">
        <f t="shared" si="11"/>
        <v/>
      </c>
      <c r="N74" s="776" t="str">
        <f t="shared" si="12"/>
        <v/>
      </c>
      <c r="O74" s="888"/>
      <c r="P74" s="888"/>
      <c r="Q74" s="888" t="s">
        <v>150</v>
      </c>
      <c r="R74" s="888"/>
      <c r="S74" s="888"/>
      <c r="T74" s="775"/>
      <c r="U74" s="775"/>
      <c r="V74" s="775" t="s">
        <v>2174</v>
      </c>
      <c r="W74" s="775"/>
      <c r="X74" s="775"/>
      <c r="Y74" s="931"/>
      <c r="Z74" s="778"/>
      <c r="AA74" s="781"/>
      <c r="AB74" s="778"/>
      <c r="AC74" s="778"/>
      <c r="AD74" s="778"/>
    </row>
    <row r="75" spans="1:30" ht="18" customHeight="1">
      <c r="A75" s="777"/>
      <c r="B75" s="830">
        <v>58</v>
      </c>
      <c r="C75" s="775"/>
      <c r="D75" s="898"/>
      <c r="E75" s="775"/>
      <c r="F75" s="775" t="s">
        <v>2153</v>
      </c>
      <c r="G75" s="775"/>
      <c r="H75" s="822"/>
      <c r="I75" s="936">
        <f t="shared" si="7"/>
        <v>0</v>
      </c>
      <c r="J75" s="936">
        <f t="shared" si="8"/>
        <v>0</v>
      </c>
      <c r="K75" s="936">
        <f t="shared" si="9"/>
        <v>0</v>
      </c>
      <c r="L75" s="776" t="str">
        <f t="shared" si="10"/>
        <v/>
      </c>
      <c r="M75" s="776" t="str">
        <f t="shared" si="11"/>
        <v/>
      </c>
      <c r="N75" s="776" t="str">
        <f t="shared" si="12"/>
        <v/>
      </c>
      <c r="O75" s="888"/>
      <c r="P75" s="888"/>
      <c r="Q75" s="888"/>
      <c r="R75" s="888" t="s">
        <v>92</v>
      </c>
      <c r="S75" s="888"/>
      <c r="T75" s="775"/>
      <c r="U75" s="775"/>
      <c r="V75" s="775"/>
      <c r="W75" s="775" t="s">
        <v>2175</v>
      </c>
      <c r="X75" s="775"/>
      <c r="Y75" s="931"/>
      <c r="Z75" s="778"/>
      <c r="AA75" s="781"/>
      <c r="AB75" s="778"/>
      <c r="AC75" s="778"/>
      <c r="AD75" s="778"/>
    </row>
    <row r="76" spans="1:30" ht="36" customHeight="1">
      <c r="A76" s="777"/>
      <c r="B76" s="830">
        <v>59</v>
      </c>
      <c r="C76" s="775"/>
      <c r="D76" s="898"/>
      <c r="E76" s="775"/>
      <c r="F76" s="775" t="s">
        <v>2155</v>
      </c>
      <c r="G76" s="775"/>
      <c r="H76" s="822"/>
      <c r="I76" s="936">
        <f t="shared" si="7"/>
        <v>0</v>
      </c>
      <c r="J76" s="936">
        <f t="shared" si="8"/>
        <v>0</v>
      </c>
      <c r="K76" s="936">
        <f t="shared" si="9"/>
        <v>0</v>
      </c>
      <c r="L76" s="776" t="str">
        <f t="shared" si="10"/>
        <v/>
      </c>
      <c r="M76" s="776" t="str">
        <f t="shared" si="11"/>
        <v/>
      </c>
      <c r="N76" s="776" t="str">
        <f t="shared" si="12"/>
        <v/>
      </c>
      <c r="O76" s="888"/>
      <c r="P76" s="888"/>
      <c r="Q76" s="888"/>
      <c r="R76" s="888" t="s">
        <v>111</v>
      </c>
      <c r="S76" s="888"/>
      <c r="T76" s="775"/>
      <c r="U76" s="775"/>
      <c r="V76" s="775"/>
      <c r="W76" s="775" t="s">
        <v>2176</v>
      </c>
      <c r="X76" s="775"/>
      <c r="Y76" s="931"/>
      <c r="Z76" s="778"/>
      <c r="AA76" s="781"/>
      <c r="AB76" s="778"/>
      <c r="AC76" s="778"/>
      <c r="AD76" s="778"/>
    </row>
    <row r="77" spans="1:30" ht="18" customHeight="1">
      <c r="A77" s="777"/>
      <c r="B77" s="830">
        <v>60</v>
      </c>
      <c r="C77" s="775"/>
      <c r="D77" s="898"/>
      <c r="E77" s="775"/>
      <c r="F77" s="775" t="s">
        <v>2157</v>
      </c>
      <c r="G77" s="775"/>
      <c r="H77" s="822"/>
      <c r="I77" s="936">
        <f t="shared" si="7"/>
        <v>0</v>
      </c>
      <c r="J77" s="936">
        <f t="shared" si="8"/>
        <v>0</v>
      </c>
      <c r="K77" s="936">
        <f t="shared" si="9"/>
        <v>0</v>
      </c>
      <c r="L77" s="776" t="str">
        <f t="shared" si="10"/>
        <v/>
      </c>
      <c r="M77" s="776" t="str">
        <f t="shared" si="11"/>
        <v/>
      </c>
      <c r="N77" s="776" t="str">
        <f t="shared" si="12"/>
        <v/>
      </c>
      <c r="O77" s="888"/>
      <c r="P77" s="888"/>
      <c r="Q77" s="888"/>
      <c r="R77" s="888" t="s">
        <v>148</v>
      </c>
      <c r="S77" s="888"/>
      <c r="T77" s="775"/>
      <c r="U77" s="775"/>
      <c r="V77" s="775"/>
      <c r="W77" s="775" t="s">
        <v>2177</v>
      </c>
      <c r="X77" s="775"/>
      <c r="Y77" s="931"/>
      <c r="Z77" s="778"/>
      <c r="AA77" s="781"/>
      <c r="AB77" s="778"/>
      <c r="AC77" s="778"/>
      <c r="AD77" s="778"/>
    </row>
    <row r="78" spans="1:30" ht="72" customHeight="1">
      <c r="A78" s="777"/>
      <c r="B78" s="830">
        <v>61</v>
      </c>
      <c r="C78" s="775" t="s">
        <v>2153</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92</v>
      </c>
      <c r="P78" s="888"/>
      <c r="Q78" s="888"/>
      <c r="R78" s="888"/>
      <c r="S78" s="888"/>
      <c r="T78" s="775" t="s">
        <v>632</v>
      </c>
      <c r="U78" s="775"/>
      <c r="V78" s="775"/>
      <c r="W78" s="775"/>
      <c r="X78" s="775"/>
      <c r="Y78" s="931"/>
      <c r="Z78" s="778" t="s">
        <v>2178</v>
      </c>
      <c r="AA78" s="781"/>
      <c r="AB78" s="778"/>
      <c r="AC78" s="778"/>
      <c r="AD78" s="778"/>
    </row>
    <row r="79" spans="1:30" ht="36" customHeight="1">
      <c r="A79" s="777"/>
      <c r="B79" s="830">
        <v>62</v>
      </c>
      <c r="C79" s="775" t="s">
        <v>2155</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111</v>
      </c>
      <c r="P79" s="888"/>
      <c r="Q79" s="888"/>
      <c r="R79" s="888"/>
      <c r="S79" s="888"/>
      <c r="T79" s="775" t="s">
        <v>2179</v>
      </c>
      <c r="U79" s="775"/>
      <c r="V79" s="775"/>
      <c r="W79" s="775"/>
      <c r="X79" s="775"/>
      <c r="Y79" s="931"/>
      <c r="Z79" s="778" t="s">
        <v>2180</v>
      </c>
      <c r="AA79" s="781"/>
      <c r="AB79" s="778"/>
      <c r="AC79" s="778"/>
      <c r="AD79" s="778"/>
    </row>
    <row r="80" spans="1:30" ht="45" customHeight="1">
      <c r="A80" s="777"/>
      <c r="B80" s="830">
        <v>63</v>
      </c>
      <c r="C80" s="775" t="s">
        <v>2157</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148</v>
      </c>
      <c r="P80" s="888"/>
      <c r="Q80" s="888"/>
      <c r="R80" s="888"/>
      <c r="S80" s="888"/>
      <c r="T80" s="775" t="s">
        <v>2181</v>
      </c>
      <c r="U80" s="775"/>
      <c r="V80" s="775"/>
      <c r="W80" s="775"/>
      <c r="X80" s="775"/>
      <c r="Y80" s="931"/>
      <c r="Z80" s="778" t="s">
        <v>2182</v>
      </c>
      <c r="AA80" s="781"/>
      <c r="AB80" s="778"/>
      <c r="AC80" s="778"/>
      <c r="AD80" s="778"/>
    </row>
    <row r="81" spans="1:30" ht="36" customHeight="1">
      <c r="A81" s="777"/>
      <c r="B81" s="830">
        <v>64</v>
      </c>
      <c r="C81" s="775" t="s">
        <v>2159</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2065</v>
      </c>
      <c r="P81" s="888"/>
      <c r="Q81" s="888"/>
      <c r="R81" s="888"/>
      <c r="S81" s="888"/>
      <c r="T81" s="775" t="s">
        <v>2183</v>
      </c>
      <c r="U81" s="775"/>
      <c r="V81" s="775"/>
      <c r="W81" s="775"/>
      <c r="X81" s="775"/>
      <c r="Y81" s="931"/>
      <c r="Z81" s="778" t="s">
        <v>2184</v>
      </c>
      <c r="AA81" s="781"/>
      <c r="AB81" s="778"/>
      <c r="AC81" s="778"/>
      <c r="AD81" s="778"/>
    </row>
    <row r="82" spans="1:30" ht="90" customHeight="1">
      <c r="A82" s="777"/>
      <c r="B82" s="830">
        <v>65</v>
      </c>
      <c r="C82" s="775" t="s">
        <v>2168</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149</v>
      </c>
      <c r="P82" s="888"/>
      <c r="Q82" s="888"/>
      <c r="R82" s="888"/>
      <c r="S82" s="888"/>
      <c r="T82" s="775" t="s">
        <v>2185</v>
      </c>
      <c r="U82" s="775"/>
      <c r="V82" s="775"/>
      <c r="W82" s="775"/>
      <c r="X82" s="775"/>
      <c r="Y82" s="931"/>
      <c r="Z82" s="778" t="s">
        <v>2186</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2074</v>
      </c>
      <c r="P83" s="888"/>
      <c r="Q83" s="888"/>
      <c r="R83" s="888"/>
      <c r="S83" s="888"/>
      <c r="T83" s="775" t="s">
        <v>2187</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2188</v>
      </c>
      <c r="P84" s="888"/>
      <c r="Q84" s="888"/>
      <c r="R84" s="888"/>
      <c r="S84" s="888"/>
      <c r="T84" s="775" t="s">
        <v>2189</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2078</v>
      </c>
      <c r="P85" s="888"/>
      <c r="Q85" s="888"/>
      <c r="R85" s="888"/>
      <c r="S85" s="888"/>
      <c r="T85" s="775" t="s">
        <v>2190</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2191</v>
      </c>
      <c r="P86" s="888"/>
      <c r="Q86" s="888"/>
      <c r="R86" s="888"/>
      <c r="S86" s="888"/>
      <c r="T86" s="775" t="s">
        <v>2192</v>
      </c>
      <c r="U86" s="775"/>
      <c r="V86" s="775"/>
      <c r="W86" s="775"/>
      <c r="X86" s="775"/>
      <c r="Y86" s="931"/>
      <c r="Z86" s="778"/>
      <c r="AA86" s="781"/>
      <c r="AB86" s="778"/>
      <c r="AC86" s="778"/>
      <c r="AD86" s="778"/>
    </row>
    <row r="87" spans="1:30" ht="36" customHeight="1">
      <c r="A87" s="777"/>
      <c r="B87" s="830">
        <v>70</v>
      </c>
      <c r="C87" s="775" t="s">
        <v>2193</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150</v>
      </c>
      <c r="P87" s="888"/>
      <c r="Q87" s="888"/>
      <c r="R87" s="888"/>
      <c r="S87" s="888"/>
      <c r="T87" s="775" t="s">
        <v>2194</v>
      </c>
      <c r="U87" s="775"/>
      <c r="V87" s="775"/>
      <c r="W87" s="775"/>
      <c r="X87" s="775"/>
      <c r="Y87" s="931"/>
      <c r="Z87" s="778"/>
      <c r="AA87" s="781"/>
      <c r="AB87" s="778"/>
      <c r="AC87" s="778"/>
      <c r="AD87" s="778"/>
    </row>
    <row r="88" spans="1:30" ht="18" customHeight="1">
      <c r="A88" s="777"/>
      <c r="B88" s="830">
        <v>71</v>
      </c>
      <c r="C88" s="775" t="s">
        <v>2195</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151</v>
      </c>
      <c r="P88" s="888"/>
      <c r="Q88" s="888"/>
      <c r="R88" s="888"/>
      <c r="S88" s="888"/>
      <c r="T88" s="775" t="s">
        <v>664</v>
      </c>
      <c r="U88" s="775"/>
      <c r="V88" s="775"/>
      <c r="W88" s="775"/>
      <c r="X88" s="775"/>
      <c r="Y88" s="931"/>
      <c r="Z88" s="778"/>
      <c r="AA88" s="781"/>
      <c r="AB88" s="778"/>
      <c r="AC88" s="778"/>
      <c r="AD88" s="778"/>
    </row>
    <row r="89" spans="1:30" ht="18" customHeight="1">
      <c r="A89" s="777"/>
      <c r="B89" s="830">
        <v>72</v>
      </c>
      <c r="C89" s="775" t="s">
        <v>2196</v>
      </c>
      <c r="D89" s="898" t="s">
        <v>2193</v>
      </c>
      <c r="E89" s="775" t="s">
        <v>2193</v>
      </c>
      <c r="F89" s="775" t="s">
        <v>2159</v>
      </c>
      <c r="G89" s="775"/>
      <c r="H89" s="822"/>
      <c r="I89" s="936" t="str">
        <f t="shared" si="13"/>
        <v>12</v>
      </c>
      <c r="J89" s="936" t="str">
        <f t="shared" si="14"/>
        <v>Среднесписочная численность основного производственного персонала</v>
      </c>
      <c r="K89" s="936">
        <f t="shared" si="15"/>
        <v>0</v>
      </c>
      <c r="L89" s="776" t="str">
        <f t="shared" si="16"/>
        <v>12</v>
      </c>
      <c r="M89" s="776" t="str">
        <f t="shared" si="17"/>
        <v>Среднесписочная численность основного производственного персонала</v>
      </c>
      <c r="N89" s="776" t="str">
        <f t="shared" si="18"/>
        <v/>
      </c>
      <c r="O89" s="888" t="s">
        <v>152</v>
      </c>
      <c r="P89" s="888" t="s">
        <v>151</v>
      </c>
      <c r="Q89" s="888" t="s">
        <v>151</v>
      </c>
      <c r="R89" s="888" t="s">
        <v>149</v>
      </c>
      <c r="S89" s="888"/>
      <c r="T89" s="775" t="s">
        <v>672</v>
      </c>
      <c r="U89" s="775" t="s">
        <v>672</v>
      </c>
      <c r="V89" s="775" t="s">
        <v>672</v>
      </c>
      <c r="W89" s="775" t="s">
        <v>672</v>
      </c>
      <c r="X89" s="775"/>
      <c r="Y89" s="931"/>
      <c r="Z89" s="778"/>
      <c r="AA89" s="781"/>
      <c r="AB89" s="778"/>
      <c r="AC89" s="778"/>
      <c r="AD89" s="778"/>
    </row>
    <row r="90" spans="1:30" ht="27" customHeight="1">
      <c r="A90" s="777"/>
      <c r="B90" s="830">
        <v>73</v>
      </c>
      <c r="C90" s="775" t="s">
        <v>2197</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153</v>
      </c>
      <c r="P90" s="888"/>
      <c r="Q90" s="888"/>
      <c r="R90" s="888"/>
      <c r="S90" s="888"/>
      <c r="T90" s="775" t="s">
        <v>674</v>
      </c>
      <c r="U90" s="775"/>
      <c r="V90" s="775"/>
      <c r="W90" s="775"/>
      <c r="X90" s="775"/>
      <c r="Y90" s="931"/>
      <c r="Z90" s="778"/>
      <c r="AA90" s="781"/>
      <c r="AB90" s="778"/>
      <c r="AC90" s="778"/>
      <c r="AD90" s="778"/>
    </row>
    <row r="91" spans="1:30" ht="18" customHeight="1">
      <c r="A91" s="777"/>
      <c r="B91" s="830">
        <v>74</v>
      </c>
      <c r="C91" s="775"/>
      <c r="D91" s="898" t="s">
        <v>2195</v>
      </c>
      <c r="E91" s="775" t="s">
        <v>2195</v>
      </c>
      <c r="F91" s="775"/>
      <c r="G91" s="775"/>
      <c r="H91" s="822"/>
      <c r="I91" s="936" t="str">
        <f t="shared" si="13"/>
        <v>13</v>
      </c>
      <c r="J91" s="936" t="str">
        <f t="shared" si="14"/>
        <v>Удельный расход электрической энергии на подачу воды в сеть</v>
      </c>
      <c r="K91" s="936">
        <f t="shared" si="15"/>
        <v>0</v>
      </c>
      <c r="L91" s="776" t="str">
        <f t="shared" si="16"/>
        <v>13</v>
      </c>
      <c r="M91" s="776" t="str">
        <f t="shared" si="17"/>
        <v>Удельный расход электрической энергии на подачу воды в сеть</v>
      </c>
      <c r="N91" s="776" t="str">
        <f t="shared" si="18"/>
        <v/>
      </c>
      <c r="O91" s="888"/>
      <c r="P91" s="888" t="s">
        <v>152</v>
      </c>
      <c r="Q91" s="888" t="s">
        <v>152</v>
      </c>
      <c r="R91" s="888"/>
      <c r="S91" s="888"/>
      <c r="T91" s="775"/>
      <c r="U91" s="775" t="s">
        <v>2198</v>
      </c>
      <c r="V91" s="775" t="s">
        <v>2198</v>
      </c>
      <c r="W91" s="775"/>
      <c r="X91" s="775"/>
      <c r="Y91" s="931"/>
      <c r="Z91" s="778"/>
      <c r="AA91" s="781"/>
      <c r="AB91" s="778"/>
      <c r="AC91" s="778"/>
      <c r="AD91" s="778"/>
    </row>
    <row r="92" spans="1:30" ht="27" customHeight="1">
      <c r="A92" s="777"/>
      <c r="B92" s="830">
        <v>75</v>
      </c>
      <c r="C92" s="775"/>
      <c r="D92" s="898" t="s">
        <v>2196</v>
      </c>
      <c r="E92" s="775"/>
      <c r="F92" s="775"/>
      <c r="G92" s="775"/>
      <c r="H92" s="822"/>
      <c r="I92" s="936" t="str">
        <f t="shared" si="13"/>
        <v>14</v>
      </c>
      <c r="J92" s="936" t="str">
        <f t="shared" si="14"/>
        <v>Расход воды на собственные нужды, в том числе:</v>
      </c>
      <c r="K92" s="936" t="str">
        <f t="shared" si="15"/>
        <v>Указывается доля общего расхода воды на собственные нужны от объема отпуска воды потребителям.</v>
      </c>
      <c r="L92" s="776" t="str">
        <f t="shared" si="16"/>
        <v>14</v>
      </c>
      <c r="M92" s="776" t="str">
        <f t="shared" si="17"/>
        <v>Расход воды на собственные нужды, в том числе:</v>
      </c>
      <c r="N92" s="776" t="str">
        <f t="shared" si="18"/>
        <v>Указывается доля общего расхода воды на собственные нужны от объема отпуска воды потребителям.</v>
      </c>
      <c r="O92" s="888"/>
      <c r="P92" s="888" t="s">
        <v>153</v>
      </c>
      <c r="Q92" s="888"/>
      <c r="R92" s="888"/>
      <c r="S92" s="888"/>
      <c r="T92" s="775"/>
      <c r="U92" s="775" t="s">
        <v>2199</v>
      </c>
      <c r="V92" s="775"/>
      <c r="W92" s="775"/>
      <c r="X92" s="775"/>
      <c r="Y92" s="931"/>
      <c r="Z92" s="778"/>
      <c r="AA92" s="781" t="s">
        <v>2200</v>
      </c>
      <c r="AB92" s="778"/>
      <c r="AC92" s="778"/>
      <c r="AD92" s="778"/>
    </row>
    <row r="93" spans="1:30" ht="27" customHeight="1">
      <c r="A93" s="777"/>
      <c r="B93" s="830">
        <v>76</v>
      </c>
      <c r="C93" s="775"/>
      <c r="D93" s="898"/>
      <c r="E93" s="775"/>
      <c r="F93" s="775"/>
      <c r="G93" s="775"/>
      <c r="H93" s="822"/>
      <c r="I93" s="936" t="str">
        <f t="shared" si="13"/>
        <v>14.1</v>
      </c>
      <c r="J93" s="936" t="str">
        <f t="shared" si="14"/>
        <v>Расход воды на хозяйственно-бытовые нужды</v>
      </c>
      <c r="K93" s="936" t="str">
        <f t="shared" si="15"/>
        <v>Указывается доля расхода воды на хозяйственно-бытовые нужны от объема отпуска воды потребителям.</v>
      </c>
      <c r="L93" s="776" t="str">
        <f t="shared" si="16"/>
        <v>14.1</v>
      </c>
      <c r="M93" s="776" t="str">
        <f t="shared" si="17"/>
        <v>Расход воды на хозяйственно-бытовые нужды</v>
      </c>
      <c r="N93" s="776" t="str">
        <f t="shared" si="18"/>
        <v>Указывается доля расхода воды на хозяйственно-бытовые нужны от объема отпуска воды потребителям.</v>
      </c>
      <c r="O93" s="888"/>
      <c r="P93" s="888" t="s">
        <v>2106</v>
      </c>
      <c r="Q93" s="888"/>
      <c r="R93" s="888"/>
      <c r="S93" s="888"/>
      <c r="T93" s="775"/>
      <c r="U93" s="775" t="s">
        <v>2201</v>
      </c>
      <c r="V93" s="775"/>
      <c r="W93" s="775"/>
      <c r="X93" s="775"/>
      <c r="Y93" s="931"/>
      <c r="Z93" s="778"/>
      <c r="AA93" s="781" t="s">
        <v>2202</v>
      </c>
      <c r="AB93" s="778"/>
      <c r="AC93" s="778"/>
      <c r="AD93" s="778"/>
    </row>
    <row r="94" spans="1:30" ht="45" customHeight="1">
      <c r="A94" s="777"/>
      <c r="B94" s="830">
        <v>77</v>
      </c>
      <c r="C94" s="775"/>
      <c r="D94" s="898" t="s">
        <v>2197</v>
      </c>
      <c r="E94" s="775"/>
      <c r="F94" s="775"/>
      <c r="G94" s="775"/>
      <c r="H94" s="822"/>
      <c r="I94" s="936" t="str">
        <f t="shared" si="13"/>
        <v>15</v>
      </c>
      <c r="J94" s="936" t="str">
        <f t="shared" si="14"/>
        <v>Показатель использования производственных объектов (по объему перекачки), в том числе:</v>
      </c>
      <c r="K94" s="936"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6" t="str">
        <f t="shared" si="16"/>
        <v>15</v>
      </c>
      <c r="M94" s="776" t="str">
        <f t="shared" si="17"/>
        <v>Показатель использования производственных объектов (по объему перекачки), в том числе:</v>
      </c>
      <c r="N94" s="776"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8"/>
      <c r="P94" s="888" t="s">
        <v>1461</v>
      </c>
      <c r="Q94" s="888"/>
      <c r="R94" s="888"/>
      <c r="S94" s="888"/>
      <c r="T94" s="775"/>
      <c r="U94" s="775" t="s">
        <v>2203</v>
      </c>
      <c r="V94" s="775"/>
      <c r="W94" s="775"/>
      <c r="X94" s="775"/>
      <c r="Y94" s="931"/>
      <c r="Z94" s="778"/>
      <c r="AA94" s="781" t="s">
        <v>2204</v>
      </c>
      <c r="AB94" s="778"/>
      <c r="AC94" s="778"/>
      <c r="AD94" s="778"/>
    </row>
    <row r="95" spans="1:30" ht="99" customHeight="1">
      <c r="A95" s="777"/>
      <c r="B95" s="830">
        <v>78</v>
      </c>
      <c r="C95" s="775" t="s">
        <v>2205</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1461</v>
      </c>
      <c r="P95" s="888"/>
      <c r="Q95" s="888"/>
      <c r="R95" s="888"/>
      <c r="S95" s="888"/>
      <c r="T95" s="775" t="s">
        <v>2206</v>
      </c>
      <c r="U95" s="775"/>
      <c r="V95" s="775"/>
      <c r="W95" s="775"/>
      <c r="X95" s="775"/>
      <c r="Y95" s="931"/>
      <c r="Z95" s="778"/>
      <c r="AA95" s="781"/>
      <c r="AB95" s="778"/>
      <c r="AC95" s="778"/>
      <c r="AD95" s="778"/>
    </row>
    <row r="96" spans="1:30" ht="99" customHeight="1">
      <c r="A96" s="777"/>
      <c r="B96" s="830">
        <v>79</v>
      </c>
      <c r="C96" s="775" t="s">
        <v>1147</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1467</v>
      </c>
      <c r="P96" s="888"/>
      <c r="Q96" s="888"/>
      <c r="R96" s="888"/>
      <c r="S96" s="888"/>
      <c r="T96" s="775" t="s">
        <v>2207</v>
      </c>
      <c r="U96" s="775"/>
      <c r="V96" s="775"/>
      <c r="W96" s="775"/>
      <c r="X96" s="775"/>
      <c r="Y96" s="931"/>
      <c r="Z96" s="778" t="s">
        <v>2208</v>
      </c>
      <c r="AA96" s="781"/>
      <c r="AB96" s="778"/>
      <c r="AC96" s="778"/>
      <c r="AD96" s="778"/>
    </row>
    <row r="97" spans="1:30" ht="63" customHeight="1">
      <c r="A97" s="777"/>
      <c r="B97" s="830">
        <v>80</v>
      </c>
      <c r="C97" s="775" t="s">
        <v>2209</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1479</v>
      </c>
      <c r="P97" s="888"/>
      <c r="Q97" s="888"/>
      <c r="R97" s="888"/>
      <c r="S97" s="888"/>
      <c r="T97" s="775" t="s">
        <v>2210</v>
      </c>
      <c r="U97" s="775"/>
      <c r="V97" s="775"/>
      <c r="W97" s="775"/>
      <c r="X97" s="775"/>
      <c r="Y97" s="931"/>
      <c r="Z97" s="778" t="s">
        <v>2211</v>
      </c>
      <c r="AA97" s="781"/>
      <c r="AB97" s="778"/>
      <c r="AC97" s="778"/>
      <c r="AD97" s="778"/>
    </row>
    <row r="98" spans="1:30" ht="63" customHeight="1">
      <c r="A98" s="777"/>
      <c r="B98" s="830">
        <v>81</v>
      </c>
      <c r="C98" s="775" t="s">
        <v>2212</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1493</v>
      </c>
      <c r="P98" s="888"/>
      <c r="Q98" s="888"/>
      <c r="R98" s="888"/>
      <c r="S98" s="888"/>
      <c r="T98" s="775" t="s">
        <v>2213</v>
      </c>
      <c r="U98" s="775"/>
      <c r="V98" s="775"/>
      <c r="W98" s="775"/>
      <c r="X98" s="775"/>
      <c r="Y98" s="931"/>
      <c r="Z98" s="778" t="s">
        <v>2211</v>
      </c>
      <c r="AA98" s="781"/>
      <c r="AB98" s="778"/>
      <c r="AC98" s="778"/>
      <c r="AD98" s="778"/>
    </row>
    <row r="99" spans="1:30" ht="90" customHeight="1">
      <c r="A99" s="777"/>
      <c r="B99" s="830">
        <v>82</v>
      </c>
      <c r="C99" s="775" t="s">
        <v>2214</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1505</v>
      </c>
      <c r="P99" s="888"/>
      <c r="Q99" s="888"/>
      <c r="R99" s="888"/>
      <c r="S99" s="888"/>
      <c r="T99" s="775" t="s">
        <v>2215</v>
      </c>
      <c r="U99" s="775"/>
      <c r="V99" s="775"/>
      <c r="W99" s="775"/>
      <c r="X99" s="775"/>
      <c r="Y99" s="931"/>
      <c r="Z99" s="778" t="s">
        <v>629</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2216</v>
      </c>
      <c r="P100" s="888"/>
      <c r="Q100" s="888"/>
      <c r="R100" s="888"/>
      <c r="S100" s="888"/>
      <c r="T100" s="775" t="s">
        <v>2217</v>
      </c>
      <c r="U100" s="775"/>
      <c r="V100" s="775"/>
      <c r="W100" s="775"/>
      <c r="X100" s="775"/>
      <c r="Y100" s="931"/>
      <c r="Z100" s="778" t="s">
        <v>629</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2218</v>
      </c>
      <c r="P101" s="888"/>
      <c r="Q101" s="888"/>
      <c r="R101" s="888"/>
      <c r="S101" s="888"/>
      <c r="T101" s="775" t="s">
        <v>2219</v>
      </c>
      <c r="U101" s="775"/>
      <c r="V101" s="775"/>
      <c r="W101" s="775"/>
      <c r="X101" s="775"/>
      <c r="Y101" s="931"/>
      <c r="Z101" s="778" t="s">
        <v>629</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1658</v>
      </c>
      <c r="B148" s="777"/>
      <c r="C148" s="775" t="s">
        <v>2220</v>
      </c>
      <c r="D148" s="775" t="s">
        <v>1561</v>
      </c>
      <c r="E148" s="775" t="s">
        <v>1660</v>
      </c>
      <c r="F148" s="775" t="s">
        <v>2221</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80"/>
      <c r="O148" s="775"/>
      <c r="P148" s="776"/>
      <c r="Q148" s="776"/>
      <c r="R148" s="776"/>
      <c r="S148" s="775"/>
      <c r="T148" s="775" t="s">
        <v>2222</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6"/>
      <c r="W148" s="776"/>
      <c r="X148" s="775" t="s">
        <v>2223</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1662</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1664</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1669</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2.28515625" style="1294" hidden="1" customWidth="1"/>
    <col min="6" max="8" width="12.28515625" style="1703" hidden="1" customWidth="1"/>
    <col min="9" max="9" width="3" style="2013" customWidth="1"/>
    <col min="10" max="11" width="3" style="282" customWidth="1"/>
    <col min="12" max="12" width="12" style="2014" customWidth="1"/>
    <col min="13" max="13" width="31" style="1563" customWidth="1"/>
    <col min="14" max="14" width="1" style="1563" customWidth="1"/>
    <col min="15" max="18" width="24" style="1563" customWidth="1"/>
    <col min="19" max="19" width="11" style="1563" customWidth="1"/>
    <col min="20" max="20" width="3.7109375" style="1563" customWidth="1"/>
    <col min="21" max="21" width="11" style="1563" customWidth="1"/>
    <col min="22" max="22" width="8.5703125" style="1563" customWidth="1"/>
    <col min="23" max="23" width="4" style="1563" customWidth="1"/>
    <col min="24" max="24" width="115" style="1563" customWidth="1"/>
    <col min="25" max="29" width="10" style="1570" customWidth="1"/>
    <col min="30" max="30" width="10.57031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65" customHeight="1">
      <c r="J4" s="314"/>
      <c r="K4" s="314"/>
      <c r="L4" s="1203"/>
      <c r="M4" s="301"/>
      <c r="N4" s="301"/>
      <c r="O4" s="447"/>
      <c r="P4" s="447"/>
      <c r="Q4" s="447"/>
      <c r="R4" s="447"/>
      <c r="S4" s="447"/>
      <c r="T4" s="447"/>
      <c r="U4" s="447"/>
      <c r="V4" s="447"/>
      <c r="AD4" s="1083">
        <v>14</v>
      </c>
    </row>
    <row r="5" spans="1:30" ht="67.150000000000006" customHeight="1">
      <c r="J5" s="314"/>
      <c r="K5" s="314"/>
      <c r="L5" s="2471" t="s">
        <v>2224</v>
      </c>
      <c r="M5" s="2471"/>
      <c r="N5" s="2471"/>
      <c r="O5" s="2471"/>
      <c r="P5" s="2471"/>
      <c r="Q5" s="2471"/>
      <c r="R5" s="2471"/>
      <c r="S5" s="2471"/>
      <c r="T5" s="2471"/>
      <c r="U5" s="2471"/>
      <c r="V5" s="1171"/>
      <c r="AD5" s="1083">
        <v>64</v>
      </c>
    </row>
    <row r="6" spans="1:30" ht="14.65" customHeight="1">
      <c r="J6" s="314"/>
      <c r="K6" s="314"/>
      <c r="L6" s="2472" t="str">
        <f>IF(org=0,"Не определено",org)</f>
        <v>ООО "Профит"</v>
      </c>
      <c r="M6" s="2472"/>
      <c r="N6" s="2472"/>
      <c r="O6" s="2472"/>
      <c r="P6" s="2472"/>
      <c r="Q6" s="2472"/>
      <c r="R6" s="2472"/>
      <c r="S6" s="2472"/>
      <c r="T6" s="2472"/>
      <c r="U6" s="2472"/>
      <c r="V6" s="1171"/>
      <c r="AD6" s="1083">
        <v>14</v>
      </c>
    </row>
    <row r="7" spans="1:30" ht="14.65" customHeight="1">
      <c r="J7" s="314"/>
      <c r="K7" s="314"/>
      <c r="L7" s="1203"/>
      <c r="M7" s="301"/>
      <c r="N7" s="301"/>
      <c r="O7" s="260"/>
      <c r="P7" s="260"/>
      <c r="Q7" s="260"/>
      <c r="R7" s="260"/>
      <c r="S7" s="260"/>
      <c r="T7" s="260"/>
      <c r="U7" s="260"/>
      <c r="V7" s="260"/>
      <c r="W7" s="447"/>
      <c r="AD7" s="1083">
        <v>14</v>
      </c>
    </row>
    <row r="8" spans="1:30" s="1779" customFormat="1" ht="48.2" customHeight="1">
      <c r="A8" s="1296"/>
      <c r="B8" s="1296"/>
      <c r="C8" s="1296"/>
      <c r="D8" s="1296"/>
      <c r="E8" s="1296"/>
      <c r="F8" s="1296"/>
      <c r="G8" s="1296"/>
      <c r="H8" s="1296"/>
      <c r="L8" s="1204"/>
      <c r="M8" s="233" t="s">
        <v>42</v>
      </c>
      <c r="N8" s="242"/>
      <c r="O8" s="2187" t="str">
        <f>IF(TITLE_NAME_OR_PR_CHANGE="",IF(TITLE_NAME_OR_PR="","",TITLE_NAME_OR_PR),TITLE_NAME_OR_PR_CHANGE)</f>
        <v/>
      </c>
      <c r="P8" s="2187"/>
      <c r="Q8" s="2187"/>
      <c r="R8" s="2187"/>
      <c r="S8" s="2187"/>
      <c r="T8" s="2187"/>
      <c r="U8" s="2187"/>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421</v>
      </c>
      <c r="N9" s="242"/>
      <c r="O9" s="2187" t="str">
        <f>IF(TITLE_DATE_CHANGE_PERIOD="",IF(TITLE_DATE_PR="","",TITLE_DATE_PR),TITLE_DATE_CHANGE_PERIOD)</f>
        <v/>
      </c>
      <c r="P9" s="2187"/>
      <c r="Q9" s="2187"/>
      <c r="R9" s="2187"/>
      <c r="S9" s="2187"/>
      <c r="T9" s="2187"/>
      <c r="U9" s="2187"/>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422</v>
      </c>
      <c r="N10" s="242"/>
      <c r="O10" s="2187" t="str">
        <f>IF(TITLE_NUMBER_PR_CHANGE="",IF(TITLE_NUMBER_PR="","",TITLE_NUMBER_PR),TITLE_NUMBER_PR_CHANGE)</f>
        <v/>
      </c>
      <c r="P10" s="2187"/>
      <c r="Q10" s="2187"/>
      <c r="R10" s="2187"/>
      <c r="S10" s="2187"/>
      <c r="T10" s="2187"/>
      <c r="U10" s="2187"/>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43</v>
      </c>
      <c r="N11" s="242"/>
      <c r="O11" s="2187" t="str">
        <f>IF(TITLE_IST_PUB_CHANGE="",IF(TITLE_IST_PUB="","",TITLE_IST_PUB),TITLE_IST_PUB_CHANGE)</f>
        <v/>
      </c>
      <c r="P11" s="2187"/>
      <c r="Q11" s="2187"/>
      <c r="R11" s="2187"/>
      <c r="S11" s="2187"/>
      <c r="T11" s="2187"/>
      <c r="U11" s="2187"/>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2470"/>
      <c r="M12" s="2470"/>
      <c r="N12" s="1215"/>
      <c r="O12" s="264"/>
      <c r="P12" s="264"/>
      <c r="Q12" s="264"/>
      <c r="R12" s="264"/>
      <c r="S12" s="264"/>
      <c r="T12" s="264"/>
      <c r="U12" s="264"/>
      <c r="V12" s="216" t="s">
        <v>425</v>
      </c>
      <c r="Y12" s="306"/>
      <c r="Z12" s="306"/>
      <c r="AA12" s="306"/>
      <c r="AB12" s="306"/>
      <c r="AC12" s="306"/>
      <c r="AD12" s="356">
        <v>0</v>
      </c>
    </row>
    <row r="13" spans="1:30" ht="14.65" customHeight="1">
      <c r="J13" s="314"/>
      <c r="K13" s="314"/>
      <c r="L13" s="1203"/>
      <c r="M13" s="301"/>
      <c r="N13" s="1172"/>
      <c r="O13" s="2206"/>
      <c r="P13" s="2206"/>
      <c r="Q13" s="2206"/>
      <c r="R13" s="2206"/>
      <c r="S13" s="2206"/>
      <c r="T13" s="2206"/>
      <c r="U13" s="2206"/>
      <c r="V13" s="2206"/>
      <c r="AD13" s="1083">
        <v>14</v>
      </c>
    </row>
    <row r="14" spans="1:30" ht="14.65" customHeight="1">
      <c r="J14" s="314"/>
      <c r="K14" s="314"/>
      <c r="L14" s="2066" t="s">
        <v>298</v>
      </c>
      <c r="M14" s="2066"/>
      <c r="N14" s="2066"/>
      <c r="O14" s="2066"/>
      <c r="P14" s="2066"/>
      <c r="Q14" s="2066"/>
      <c r="R14" s="2066"/>
      <c r="S14" s="2066"/>
      <c r="T14" s="2066"/>
      <c r="U14" s="2066"/>
      <c r="V14" s="2066"/>
      <c r="W14" s="2066"/>
      <c r="X14" s="2066" t="s">
        <v>299</v>
      </c>
      <c r="AD14" s="1083">
        <v>14</v>
      </c>
    </row>
    <row r="15" spans="1:30" ht="14.65" customHeight="1">
      <c r="J15" s="314"/>
      <c r="K15" s="314"/>
      <c r="L15" s="2207" t="s">
        <v>87</v>
      </c>
      <c r="M15" s="2155" t="s">
        <v>426</v>
      </c>
      <c r="N15" s="239"/>
      <c r="O15" s="2208" t="s">
        <v>2225</v>
      </c>
      <c r="P15" s="2209"/>
      <c r="Q15" s="2209"/>
      <c r="R15" s="2209"/>
      <c r="S15" s="2209"/>
      <c r="T15" s="2209"/>
      <c r="U15" s="2210"/>
      <c r="V15" s="2211" t="s">
        <v>428</v>
      </c>
      <c r="W15" s="2214" t="s">
        <v>1144</v>
      </c>
      <c r="X15" s="2066"/>
      <c r="AD15" s="1083">
        <v>14</v>
      </c>
    </row>
    <row r="16" spans="1:30" ht="35.65" customHeight="1">
      <c r="J16" s="314"/>
      <c r="K16" s="314"/>
      <c r="L16" s="2207"/>
      <c r="M16" s="2155"/>
      <c r="N16" s="962"/>
      <c r="O16" s="2125" t="s">
        <v>431</v>
      </c>
      <c r="P16" s="2125" t="s">
        <v>432</v>
      </c>
      <c r="Q16" s="2048" t="s">
        <v>433</v>
      </c>
      <c r="R16" s="2047"/>
      <c r="S16" s="2048" t="s">
        <v>447</v>
      </c>
      <c r="T16" s="2053"/>
      <c r="U16" s="2047"/>
      <c r="V16" s="2212"/>
      <c r="W16" s="2215"/>
      <c r="X16" s="2066"/>
      <c r="AD16" s="1083">
        <v>34</v>
      </c>
    </row>
    <row r="17" spans="1:30" ht="35.65" customHeight="1">
      <c r="A17" s="1298" t="s">
        <v>134</v>
      </c>
      <c r="B17" s="1298" t="s">
        <v>135</v>
      </c>
      <c r="C17" s="1298" t="s">
        <v>136</v>
      </c>
      <c r="D17" s="1298" t="s">
        <v>137</v>
      </c>
      <c r="E17" s="1298"/>
      <c r="J17" s="314"/>
      <c r="K17" s="314"/>
      <c r="L17" s="2207"/>
      <c r="M17" s="2155"/>
      <c r="N17" s="240"/>
      <c r="O17" s="2180"/>
      <c r="P17" s="2180"/>
      <c r="Q17" s="1150" t="s">
        <v>442</v>
      </c>
      <c r="R17" s="1150" t="s">
        <v>443</v>
      </c>
      <c r="S17" s="1220" t="s">
        <v>444</v>
      </c>
      <c r="T17" s="2160" t="s">
        <v>445</v>
      </c>
      <c r="U17" s="2174"/>
      <c r="V17" s="2213"/>
      <c r="W17" s="2216"/>
      <c r="X17" s="2066"/>
      <c r="AD17" s="1083">
        <v>34</v>
      </c>
    </row>
    <row r="18" spans="1:30" s="1569" customFormat="1" ht="11.45" customHeight="1">
      <c r="A18" s="1298"/>
      <c r="B18" s="1298"/>
      <c r="C18" s="1298"/>
      <c r="D18" s="1298"/>
      <c r="E18" s="1298"/>
      <c r="F18" s="1290"/>
      <c r="G18" s="1290"/>
      <c r="H18" s="1290"/>
      <c r="I18" s="1174"/>
      <c r="J18" s="1175"/>
      <c r="K18" s="1182">
        <v>1</v>
      </c>
      <c r="L18" s="1205" t="s">
        <v>108</v>
      </c>
      <c r="M18" s="1183" t="s">
        <v>109</v>
      </c>
      <c r="N18" s="1173" t="str">
        <f ca="1">OFFSET(N18,0,-1)</f>
        <v>2</v>
      </c>
      <c r="O18" s="1217">
        <f ca="1">OFFSET(O18,0,-1)+1</f>
        <v>3</v>
      </c>
      <c r="P18" s="1217"/>
      <c r="Q18" s="1217">
        <f ca="1">OFFSET(Q18,0,-1)+1</f>
        <v>1</v>
      </c>
      <c r="R18" s="1217">
        <f ca="1">OFFSET(R18,0,-1)+1</f>
        <v>2</v>
      </c>
      <c r="S18" s="1217">
        <f ca="1">OFFSET(S18,0,-1)+1</f>
        <v>3</v>
      </c>
      <c r="T18" s="2205">
        <f ca="1">OFFSET(T18,0,-1)+1</f>
        <v>4</v>
      </c>
      <c r="U18" s="2205"/>
      <c r="V18" s="1217">
        <f ca="1">OFFSET(V18,0,-2)+1</f>
        <v>5</v>
      </c>
      <c r="W18" s="1173">
        <f ca="1">OFFSET(W18,0,-1)</f>
        <v>5</v>
      </c>
      <c r="X18" s="1217">
        <f ca="1">OFFSET(X18,0,-1)+1</f>
        <v>6</v>
      </c>
      <c r="Y18" s="449"/>
      <c r="Z18" s="449"/>
      <c r="AA18" s="449"/>
      <c r="AB18" s="449"/>
      <c r="AC18" s="449"/>
      <c r="AD18" s="434">
        <v>11</v>
      </c>
    </row>
    <row r="19" spans="1:30" ht="21" customHeight="1">
      <c r="A19" s="1291" t="s">
        <v>168</v>
      </c>
      <c r="B19" s="1291" t="s">
        <v>169</v>
      </c>
      <c r="C19" s="1291" t="s">
        <v>170</v>
      </c>
      <c r="D19" s="1291" t="s">
        <v>171</v>
      </c>
      <c r="E19" s="1291"/>
      <c r="F19" s="1293"/>
      <c r="G19" s="1293"/>
      <c r="H19" s="1293"/>
      <c r="I19" s="299"/>
      <c r="J19" s="298"/>
      <c r="K19" s="293"/>
      <c r="L19" s="1221">
        <f>INDEX(PT_DIFFERENTIATION_NUM_NTAR,MATCH(A19,PT_DIFFERENTIATION_NTAR_ID,0))</f>
        <v>0</v>
      </c>
      <c r="M19" s="236" t="s">
        <v>123</v>
      </c>
      <c r="N19" s="238"/>
      <c r="O19" s="2469" t="str">
        <f>INDEX(PT_DIFFERENTIATION_NTAR,MATCH(A19,PT_DIFFERENTIATION_NTAR_ID,0))</f>
        <v/>
      </c>
      <c r="P19" s="2469"/>
      <c r="Q19" s="2469"/>
      <c r="R19" s="2469"/>
      <c r="S19" s="2469"/>
      <c r="T19" s="2469"/>
      <c r="U19" s="2469"/>
      <c r="V19" s="2469"/>
      <c r="W19" s="2469"/>
      <c r="X19" s="1186" t="s">
        <v>394</v>
      </c>
      <c r="Z19" s="438"/>
      <c r="AA19" s="438" t="str">
        <f t="shared" ref="AA19:AA32" si="0">IF(M19="","",M19)</f>
        <v>Наименование тарифа</v>
      </c>
      <c r="AB19" s="438"/>
      <c r="AC19" s="438"/>
      <c r="AD19" s="1083">
        <v>20</v>
      </c>
    </row>
    <row r="20" spans="1:30" ht="21" customHeight="1">
      <c r="A20" s="1291" t="s">
        <v>168</v>
      </c>
      <c r="B20" s="1291" t="s">
        <v>169</v>
      </c>
      <c r="C20" s="1291" t="s">
        <v>170</v>
      </c>
      <c r="D20" s="1291" t="s">
        <v>171</v>
      </c>
      <c r="E20" s="1291"/>
      <c r="F20" s="1293"/>
      <c r="G20" s="1293"/>
      <c r="H20" s="1293"/>
      <c r="I20" s="1218"/>
      <c r="J20" s="290"/>
      <c r="K20" s="291"/>
      <c r="L20" s="1221" t="str">
        <f>INDEX(PT_DIFFERENTIATION_NUM_TER,MATCH(B19,PT_DIFFERENTIATION_TER_ID,0))</f>
        <v>.</v>
      </c>
      <c r="M20" s="246" t="s">
        <v>395</v>
      </c>
      <c r="N20" s="238"/>
      <c r="O20" s="2469" t="str">
        <f>INDEX(PT_DIFFERENTIATION_TER,MATCH(B19,PT_DIFFERENTIATION_TER_ID,0))</f>
        <v/>
      </c>
      <c r="P20" s="2469"/>
      <c r="Q20" s="2469"/>
      <c r="R20" s="2469"/>
      <c r="S20" s="2469"/>
      <c r="T20" s="2469"/>
      <c r="U20" s="2469"/>
      <c r="V20" s="2469"/>
      <c r="W20" s="2469"/>
      <c r="X20" s="1186" t="s">
        <v>396</v>
      </c>
      <c r="Z20" s="438"/>
      <c r="AA20" s="438" t="str">
        <f t="shared" si="0"/>
        <v>Территория действия тарифа</v>
      </c>
      <c r="AB20" s="438"/>
      <c r="AC20" s="438"/>
      <c r="AD20" s="1083">
        <v>20</v>
      </c>
    </row>
    <row r="21" spans="1:30" ht="24" customHeight="1">
      <c r="A21" s="1291" t="s">
        <v>168</v>
      </c>
      <c r="B21" s="1291" t="s">
        <v>169</v>
      </c>
      <c r="C21" s="1291" t="s">
        <v>170</v>
      </c>
      <c r="D21" s="1291" t="s">
        <v>171</v>
      </c>
      <c r="E21" s="1291"/>
      <c r="F21" s="1293"/>
      <c r="G21" s="1293"/>
      <c r="H21" s="1293"/>
      <c r="I21" s="292"/>
      <c r="J21" s="290"/>
      <c r="K21" s="291"/>
      <c r="L21" s="1221" t="str">
        <f>INDEX(PT_DIFFERENTIATION_NUM_CS,MATCH(C19,PT_DIFFERENTIATION_CS_ID,0))</f>
        <v>..</v>
      </c>
      <c r="M21" s="247" t="s">
        <v>397</v>
      </c>
      <c r="N21" s="238"/>
      <c r="O21" s="2469" t="str">
        <f>INDEX(PT_DIFFERENTIATION_CS,MATCH(C19,PT_DIFFERENTIATION_CS_ID,0))</f>
        <v/>
      </c>
      <c r="P21" s="2469"/>
      <c r="Q21" s="2469"/>
      <c r="R21" s="2469"/>
      <c r="S21" s="2469"/>
      <c r="T21" s="2469"/>
      <c r="U21" s="2469"/>
      <c r="V21" s="2469"/>
      <c r="W21" s="2469"/>
      <c r="X21" s="1186" t="s">
        <v>398</v>
      </c>
      <c r="Z21" s="438"/>
      <c r="AA21" s="438" t="str">
        <f t="shared" si="0"/>
        <v xml:space="preserve">Наименование системы теплоснабжения </v>
      </c>
      <c r="AB21" s="438"/>
      <c r="AC21" s="438"/>
      <c r="AD21" s="1083">
        <v>23</v>
      </c>
    </row>
    <row r="22" spans="1:30" ht="21" customHeight="1">
      <c r="A22" s="1291" t="s">
        <v>168</v>
      </c>
      <c r="B22" s="1291" t="s">
        <v>169</v>
      </c>
      <c r="C22" s="1291" t="s">
        <v>170</v>
      </c>
      <c r="D22" s="1291" t="s">
        <v>171</v>
      </c>
      <c r="E22" s="1291"/>
      <c r="F22" s="1293"/>
      <c r="G22" s="1293"/>
      <c r="H22" s="1293"/>
      <c r="I22" s="292"/>
      <c r="J22" s="290"/>
      <c r="K22" s="291"/>
      <c r="L22" s="1221" t="str">
        <f>INDEX(PT_DIFFERENTIATION_NUM_IST_TE,MATCH(D19,PT_DIFFERENTIATION_IST_TE_ID,0))</f>
        <v>...</v>
      </c>
      <c r="M22" s="248" t="s">
        <v>399</v>
      </c>
      <c r="N22" s="238"/>
      <c r="O22" s="2469" t="str">
        <f>INDEX(PT_DIFFERENTIATION_IST_TE,MATCH(D19,PT_DIFFERENTIATION_IST_TE_ID,0))</f>
        <v/>
      </c>
      <c r="P22" s="2469"/>
      <c r="Q22" s="2469"/>
      <c r="R22" s="2469"/>
      <c r="S22" s="2469"/>
      <c r="T22" s="2469"/>
      <c r="U22" s="2469"/>
      <c r="V22" s="2469"/>
      <c r="W22" s="2469"/>
      <c r="X22" s="1186" t="s">
        <v>400</v>
      </c>
      <c r="Z22" s="438"/>
      <c r="AA22" s="438" t="str">
        <f t="shared" si="0"/>
        <v xml:space="preserve">Источник тепловой энергии  </v>
      </c>
      <c r="AB22" s="438"/>
      <c r="AC22" s="438"/>
      <c r="AD22" s="1083">
        <v>20</v>
      </c>
    </row>
    <row r="23" spans="1:30" ht="96.75" customHeight="1">
      <c r="A23" s="1291" t="s">
        <v>168</v>
      </c>
      <c r="B23" s="1291" t="s">
        <v>169</v>
      </c>
      <c r="C23" s="1291" t="s">
        <v>170</v>
      </c>
      <c r="D23" s="1291" t="s">
        <v>171</v>
      </c>
      <c r="E23" s="1291"/>
      <c r="F23" s="2172" t="str">
        <f>L22&amp;".1"</f>
        <v>....1</v>
      </c>
      <c r="I23" s="2198">
        <v>1</v>
      </c>
      <c r="J23" s="1219"/>
      <c r="K23" s="294"/>
      <c r="L23" s="1221" t="str">
        <f>$F$23</f>
        <v>....1</v>
      </c>
      <c r="M23" s="223" t="s">
        <v>402</v>
      </c>
      <c r="N23" s="238"/>
      <c r="O23" s="2228"/>
      <c r="P23" s="2228"/>
      <c r="Q23" s="2228"/>
      <c r="R23" s="2228"/>
      <c r="S23" s="2228"/>
      <c r="T23" s="2228"/>
      <c r="U23" s="2228"/>
      <c r="V23" s="2228"/>
      <c r="W23" s="2228"/>
      <c r="X23" s="1186" t="s">
        <v>403</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168</v>
      </c>
      <c r="B24" s="1291" t="s">
        <v>169</v>
      </c>
      <c r="C24" s="1291" t="s">
        <v>170</v>
      </c>
      <c r="D24" s="1291" t="s">
        <v>171</v>
      </c>
      <c r="E24" s="1291"/>
      <c r="F24" s="2172"/>
      <c r="G24" s="2172" t="str">
        <f>F23&amp;".1"</f>
        <v>....1.1</v>
      </c>
      <c r="I24" s="2198"/>
      <c r="J24" s="2198">
        <v>1</v>
      </c>
      <c r="K24" s="295"/>
      <c r="L24" s="1221" t="str">
        <f>$G$24</f>
        <v>....1.1</v>
      </c>
      <c r="M24" s="224" t="s">
        <v>405</v>
      </c>
      <c r="N24" s="238"/>
      <c r="O24" s="2182"/>
      <c r="P24" s="2183"/>
      <c r="Q24" s="2183"/>
      <c r="R24" s="2183"/>
      <c r="S24" s="2183"/>
      <c r="T24" s="2183"/>
      <c r="U24" s="2183"/>
      <c r="V24" s="2183"/>
      <c r="W24" s="2184"/>
      <c r="X24" s="1186" t="s">
        <v>406</v>
      </c>
      <c r="Z24" s="438"/>
      <c r="AA24" s="438" t="str">
        <f t="shared" si="0"/>
        <v>Группа потребителей</v>
      </c>
      <c r="AB24" s="438"/>
      <c r="AC24" s="438"/>
      <c r="AD24" s="1083">
        <v>82</v>
      </c>
    </row>
    <row r="25" spans="1:30" ht="11.45" customHeight="1">
      <c r="A25" s="1291" t="s">
        <v>168</v>
      </c>
      <c r="B25" s="1291" t="s">
        <v>169</v>
      </c>
      <c r="C25" s="1291" t="s">
        <v>170</v>
      </c>
      <c r="D25" s="1291" t="s">
        <v>171</v>
      </c>
      <c r="E25" s="1291"/>
      <c r="F25" s="2172"/>
      <c r="G25" s="2172"/>
      <c r="H25" s="2172" t="str">
        <f>G24&amp;".1"</f>
        <v>....1.1.1</v>
      </c>
      <c r="I25" s="2198"/>
      <c r="J25" s="2198"/>
      <c r="K25" s="295">
        <v>1</v>
      </c>
      <c r="L25" s="1221" t="str">
        <f>$H$25</f>
        <v>....1.1.1</v>
      </c>
      <c r="M25" s="1275"/>
      <c r="N25" s="238"/>
      <c r="O25" s="689"/>
      <c r="P25" s="263"/>
      <c r="Q25" s="689"/>
      <c r="R25" s="1185"/>
      <c r="S25" s="2199"/>
      <c r="T25" s="2076" t="s">
        <v>65</v>
      </c>
      <c r="U25" s="2199"/>
      <c r="V25" s="2076" t="s">
        <v>19</v>
      </c>
      <c r="W25" s="263"/>
      <c r="X25" s="2217" t="s">
        <v>408</v>
      </c>
      <c r="Y25" s="449" t="e">
        <f ca="1">STRCHECKDATE(O26:W26)</f>
        <v>#NAME?</v>
      </c>
      <c r="Z25" s="438"/>
      <c r="AA25" s="438" t="str">
        <f t="shared" si="0"/>
        <v/>
      </c>
      <c r="AB25" s="438"/>
      <c r="AC25" s="438"/>
      <c r="AD25" s="1083">
        <v>11</v>
      </c>
    </row>
    <row r="26" spans="1:30" ht="11.45" customHeight="1">
      <c r="A26" s="1291" t="s">
        <v>168</v>
      </c>
      <c r="B26" s="1291" t="s">
        <v>169</v>
      </c>
      <c r="C26" s="1291" t="s">
        <v>170</v>
      </c>
      <c r="D26" s="1291" t="s">
        <v>171</v>
      </c>
      <c r="E26" s="1291"/>
      <c r="F26" s="2172"/>
      <c r="G26" s="2172"/>
      <c r="H26" s="2172"/>
      <c r="I26" s="2198"/>
      <c r="J26" s="2198"/>
      <c r="K26" s="295"/>
      <c r="L26" s="1222"/>
      <c r="M26" s="238"/>
      <c r="N26" s="238"/>
      <c r="O26" s="263"/>
      <c r="P26" s="263"/>
      <c r="Q26" s="263"/>
      <c r="R26" s="266" t="str">
        <f>S25&amp;"-"&amp;U25</f>
        <v>-</v>
      </c>
      <c r="S26" s="2200"/>
      <c r="T26" s="2076"/>
      <c r="U26" s="2200"/>
      <c r="V26" s="2076"/>
      <c r="W26" s="263"/>
      <c r="X26" s="2218"/>
      <c r="Z26" s="438"/>
      <c r="AA26" s="438" t="str">
        <f t="shared" si="0"/>
        <v/>
      </c>
      <c r="AB26" s="438"/>
      <c r="AC26" s="438"/>
      <c r="AD26" s="1083">
        <v>11</v>
      </c>
    </row>
    <row r="27" spans="1:30" ht="15.75" customHeight="1">
      <c r="A27" s="1291" t="s">
        <v>168</v>
      </c>
      <c r="B27" s="1291" t="s">
        <v>169</v>
      </c>
      <c r="C27" s="1291" t="s">
        <v>170</v>
      </c>
      <c r="D27" s="1291" t="s">
        <v>171</v>
      </c>
      <c r="E27" s="1291"/>
      <c r="F27" s="2172"/>
      <c r="G27" s="2172"/>
      <c r="I27" s="2198"/>
      <c r="J27" s="2198"/>
      <c r="K27" s="294"/>
      <c r="L27" s="1206"/>
      <c r="M27" s="226" t="s">
        <v>409</v>
      </c>
      <c r="N27" s="305"/>
      <c r="O27" s="305"/>
      <c r="P27" s="305"/>
      <c r="Q27" s="305"/>
      <c r="R27" s="305"/>
      <c r="S27" s="305"/>
      <c r="T27" s="305"/>
      <c r="U27" s="305"/>
      <c r="V27" s="305"/>
      <c r="W27" s="262"/>
      <c r="X27" s="2219"/>
      <c r="Z27" s="438"/>
      <c r="AA27" s="438" t="str">
        <f t="shared" si="0"/>
        <v>Добавить вид теплоносителя (параметры теплоносителя)</v>
      </c>
      <c r="AB27" s="438"/>
      <c r="AC27" s="438"/>
      <c r="AD27" s="1083">
        <v>15</v>
      </c>
    </row>
    <row r="28" spans="1:30" ht="15.75" customHeight="1">
      <c r="A28" s="1291" t="s">
        <v>168</v>
      </c>
      <c r="B28" s="1291" t="s">
        <v>169</v>
      </c>
      <c r="C28" s="1291" t="s">
        <v>170</v>
      </c>
      <c r="D28" s="1291" t="s">
        <v>171</v>
      </c>
      <c r="E28" s="1291"/>
      <c r="F28" s="2172"/>
      <c r="I28" s="2198"/>
      <c r="J28" s="1219"/>
      <c r="K28" s="294"/>
      <c r="L28" s="1206"/>
      <c r="M28" s="225" t="s">
        <v>410</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65" customHeight="1">
      <c r="A29" s="1291" t="s">
        <v>168</v>
      </c>
      <c r="B29" s="1291" t="s">
        <v>169</v>
      </c>
      <c r="C29" s="1291" t="s">
        <v>170</v>
      </c>
      <c r="D29" s="1291" t="s">
        <v>171</v>
      </c>
      <c r="E29" s="1291"/>
      <c r="F29" s="1293"/>
      <c r="G29" s="1293"/>
      <c r="H29" s="475"/>
      <c r="I29" s="298"/>
      <c r="J29" s="313"/>
      <c r="K29" s="293"/>
      <c r="L29" s="1206"/>
      <c r="M29" s="303" t="s">
        <v>411</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65" customHeight="1">
      <c r="A30" s="1291" t="s">
        <v>168</v>
      </c>
      <c r="B30" s="1291" t="s">
        <v>169</v>
      </c>
      <c r="C30" s="1291" t="s">
        <v>170</v>
      </c>
      <c r="D30" s="1291"/>
      <c r="E30" s="1291" t="s">
        <v>584</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65" customHeight="1">
      <c r="A31" s="1291" t="s">
        <v>168</v>
      </c>
      <c r="B31" s="1291" t="s">
        <v>169</v>
      </c>
      <c r="C31" s="1291"/>
      <c r="D31" s="1291"/>
      <c r="E31" s="1291" t="s">
        <v>2226</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65" customHeight="1">
      <c r="A32" s="1291" t="s">
        <v>2227</v>
      </c>
      <c r="B32" s="1291"/>
      <c r="C32" s="1291"/>
      <c r="D32" s="1291"/>
      <c r="E32" s="1291" t="s">
        <v>103</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45" customHeight="1">
      <c r="A33" s="1291"/>
      <c r="B33" s="1291"/>
      <c r="C33" s="1291"/>
      <c r="D33" s="1291"/>
      <c r="E33" s="1291" t="s">
        <v>446</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45" customHeight="1">
      <c r="F34" s="1088"/>
      <c r="G34" s="1088"/>
      <c r="H34" s="475"/>
      <c r="I34" s="1083"/>
      <c r="J34" s="1083"/>
      <c r="K34" s="1083"/>
      <c r="Y34" s="1083"/>
      <c r="Z34" s="1083"/>
      <c r="AA34" s="1083"/>
      <c r="AB34" s="1083"/>
      <c r="AC34" s="1083"/>
      <c r="AD34" s="1083">
        <v>11</v>
      </c>
    </row>
    <row r="35" spans="1:30" ht="28.5" customHeight="1">
      <c r="H35" s="475"/>
      <c r="L35" s="1216" t="s">
        <v>802</v>
      </c>
      <c r="M35" s="2193" t="s">
        <v>2228</v>
      </c>
      <c r="N35" s="2193"/>
      <c r="O35" s="2193"/>
      <c r="P35" s="2193"/>
      <c r="Q35" s="2193"/>
      <c r="R35" s="2193"/>
      <c r="S35" s="2193"/>
      <c r="T35" s="2193"/>
      <c r="U35" s="2193"/>
      <c r="V35" s="2193"/>
      <c r="W35" s="2193"/>
      <c r="X35" s="2193"/>
      <c r="AD35" s="1083">
        <v>27</v>
      </c>
    </row>
    <row r="36" spans="1:30" ht="109.15" customHeight="1">
      <c r="H36" s="475"/>
      <c r="I36" s="1231"/>
      <c r="M36" s="2193" t="s">
        <v>2229</v>
      </c>
      <c r="N36" s="2193"/>
      <c r="O36" s="2193"/>
      <c r="P36" s="2193"/>
      <c r="Q36" s="2193"/>
      <c r="R36" s="2193"/>
      <c r="S36" s="2193"/>
      <c r="T36" s="2193"/>
      <c r="U36" s="2193"/>
      <c r="V36" s="2193"/>
      <c r="W36" s="2193"/>
      <c r="X36" s="2193"/>
      <c r="AD36" s="1083">
        <v>104</v>
      </c>
    </row>
    <row r="37" spans="1:30" ht="14.65" customHeight="1">
      <c r="H37" s="475"/>
      <c r="AD37" s="1083">
        <v>14</v>
      </c>
    </row>
    <row r="38" spans="1:30" ht="14.65" customHeight="1">
      <c r="H38" s="475"/>
      <c r="AD38" s="1083">
        <v>14</v>
      </c>
    </row>
    <row r="39" spans="1:30" ht="14.65" customHeight="1">
      <c r="H39" s="475"/>
      <c r="AD39" s="1083">
        <v>14</v>
      </c>
    </row>
    <row r="40" spans="1:30" ht="14.65" customHeight="1">
      <c r="H40" s="475"/>
      <c r="AD40" s="1083">
        <v>14</v>
      </c>
    </row>
    <row r="41" spans="1:30" ht="22.5" hidden="1" customHeight="1">
      <c r="A41" s="1088" t="s">
        <v>81</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7" t="s">
        <v>2230</v>
      </c>
      <c r="B1" s="2018" t="s">
        <v>2231</v>
      </c>
      <c r="C1" s="2473" t="s">
        <v>2232</v>
      </c>
      <c r="D1" s="2474"/>
      <c r="E1" s="768" t="s">
        <v>2233</v>
      </c>
    </row>
    <row r="2" spans="1:5" ht="11.25" customHeight="1">
      <c r="A2" s="2019"/>
      <c r="B2" s="701" t="s">
        <v>27</v>
      </c>
      <c r="C2" s="691"/>
      <c r="D2" s="700"/>
      <c r="E2" s="768"/>
    </row>
    <row r="3" spans="1:5" ht="11.25" customHeight="1">
      <c r="A3" s="2020"/>
      <c r="B3" s="2021" t="s">
        <v>33</v>
      </c>
      <c r="C3" s="691"/>
      <c r="D3" s="700"/>
      <c r="E3" s="768"/>
    </row>
    <row r="4" spans="1:5" ht="11.25" customHeight="1">
      <c r="A4" s="2022"/>
      <c r="B4" s="702" t="s">
        <v>1658</v>
      </c>
      <c r="C4" s="691"/>
      <c r="D4" s="700"/>
      <c r="E4" s="768"/>
    </row>
    <row r="5" spans="1:5" ht="11.25" customHeight="1">
      <c r="A5" s="2023"/>
      <c r="B5" s="702" t="s">
        <v>1652</v>
      </c>
      <c r="C5" s="2024" t="s">
        <v>1997</v>
      </c>
      <c r="D5" s="2025" t="s">
        <v>2234</v>
      </c>
      <c r="E5" s="768"/>
    </row>
    <row r="6" spans="1:5" s="1776" customFormat="1" ht="11.25" customHeight="1">
      <c r="A6" s="2026"/>
      <c r="B6" s="702" t="s">
        <v>1662</v>
      </c>
      <c r="C6" s="691"/>
      <c r="D6" s="700"/>
      <c r="E6" s="768"/>
    </row>
    <row r="7" spans="1:5" ht="11.25" customHeight="1">
      <c r="A7" s="2027"/>
      <c r="B7" s="702" t="s">
        <v>1669</v>
      </c>
      <c r="C7" s="691"/>
      <c r="D7" s="700"/>
      <c r="E7" s="768"/>
    </row>
    <row r="8" spans="1:5" ht="11.25" customHeight="1">
      <c r="A8" s="693"/>
      <c r="B8" s="702" t="s">
        <v>1664</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135"/>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8" t="s">
        <v>2235</v>
      </c>
      <c r="B1" s="8" t="s">
        <v>2236</v>
      </c>
      <c r="C1" s="8" t="s">
        <v>2237</v>
      </c>
      <c r="D1" s="8" t="s">
        <v>2238</v>
      </c>
      <c r="E1" s="8" t="s">
        <v>2239</v>
      </c>
      <c r="F1" s="8" t="s">
        <v>2240</v>
      </c>
      <c r="G1" s="8" t="s">
        <v>2241</v>
      </c>
      <c r="H1" s="8" t="s">
        <v>2242</v>
      </c>
      <c r="I1" s="8" t="s">
        <v>2243</v>
      </c>
    </row>
    <row r="2" spans="1:9" ht="11.25" customHeight="1">
      <c r="A2" s="1776" t="s">
        <v>2244</v>
      </c>
      <c r="B2" s="1776" t="s">
        <v>16</v>
      </c>
      <c r="C2" s="1776" t="s">
        <v>2245</v>
      </c>
      <c r="D2" s="1776" t="s">
        <v>2246</v>
      </c>
      <c r="E2" s="1776" t="s">
        <v>2247</v>
      </c>
      <c r="F2" s="1776" t="s">
        <v>2248</v>
      </c>
      <c r="G2" s="1776" t="s">
        <v>22</v>
      </c>
      <c r="H2" s="1776" t="s">
        <v>22</v>
      </c>
      <c r="I2" s="1776" t="s">
        <v>806</v>
      </c>
    </row>
    <row r="3" spans="1:9" ht="11.25" customHeight="1">
      <c r="A3" s="1776" t="s">
        <v>2244</v>
      </c>
      <c r="B3" s="1776" t="s">
        <v>16</v>
      </c>
      <c r="C3" s="1776" t="s">
        <v>2249</v>
      </c>
      <c r="D3" s="1776" t="s">
        <v>2250</v>
      </c>
      <c r="E3" s="1776" t="s">
        <v>2251</v>
      </c>
      <c r="F3" s="1776" t="s">
        <v>2252</v>
      </c>
      <c r="G3" s="1776" t="s">
        <v>2253</v>
      </c>
      <c r="H3" s="1776" t="s">
        <v>22</v>
      </c>
      <c r="I3" s="1776" t="s">
        <v>806</v>
      </c>
    </row>
    <row r="4" spans="1:9" ht="11.25" customHeight="1">
      <c r="A4" s="1776" t="s">
        <v>2244</v>
      </c>
      <c r="B4" s="1776" t="s">
        <v>16</v>
      </c>
      <c r="C4" s="1776" t="s">
        <v>2254</v>
      </c>
      <c r="D4" s="1776" t="s">
        <v>2255</v>
      </c>
      <c r="E4" s="1776" t="s">
        <v>2256</v>
      </c>
      <c r="F4" s="1776" t="s">
        <v>2257</v>
      </c>
      <c r="G4" s="1776" t="s">
        <v>22</v>
      </c>
      <c r="H4" s="1776" t="s">
        <v>22</v>
      </c>
      <c r="I4" s="1776" t="s">
        <v>806</v>
      </c>
    </row>
    <row r="5" spans="1:9" ht="11.25" customHeight="1">
      <c r="A5" s="1776" t="s">
        <v>2244</v>
      </c>
      <c r="B5" s="1776" t="s">
        <v>16</v>
      </c>
      <c r="C5" s="1776" t="s">
        <v>2258</v>
      </c>
      <c r="D5" s="1776" t="s">
        <v>2259</v>
      </c>
      <c r="E5" s="1776" t="s">
        <v>2260</v>
      </c>
      <c r="F5" s="1776" t="s">
        <v>2261</v>
      </c>
      <c r="G5" s="1776" t="s">
        <v>2262</v>
      </c>
      <c r="H5" s="1776" t="s">
        <v>22</v>
      </c>
      <c r="I5" s="1776" t="s">
        <v>806</v>
      </c>
    </row>
    <row r="6" spans="1:9" ht="11.25" customHeight="1">
      <c r="A6" s="1776" t="s">
        <v>2244</v>
      </c>
      <c r="B6" s="1776" t="s">
        <v>16</v>
      </c>
      <c r="C6" s="1776" t="s">
        <v>2263</v>
      </c>
      <c r="D6" s="1776" t="s">
        <v>2264</v>
      </c>
      <c r="E6" s="1776" t="s">
        <v>2265</v>
      </c>
      <c r="F6" s="1776" t="s">
        <v>2266</v>
      </c>
      <c r="G6" s="1776" t="s">
        <v>22</v>
      </c>
      <c r="H6" s="1776" t="s">
        <v>22</v>
      </c>
      <c r="I6" s="1776" t="s">
        <v>806</v>
      </c>
    </row>
    <row r="7" spans="1:9" ht="11.25" customHeight="1">
      <c r="A7" s="1776" t="s">
        <v>2244</v>
      </c>
      <c r="B7" s="1776" t="s">
        <v>16</v>
      </c>
      <c r="C7" s="1776" t="s">
        <v>2267</v>
      </c>
      <c r="D7" s="1776" t="s">
        <v>2268</v>
      </c>
      <c r="E7" s="1776" t="s">
        <v>2269</v>
      </c>
      <c r="F7" s="1776" t="s">
        <v>2257</v>
      </c>
      <c r="G7" s="1776" t="s">
        <v>22</v>
      </c>
      <c r="H7" s="1776" t="s">
        <v>22</v>
      </c>
      <c r="I7" s="1776" t="s">
        <v>806</v>
      </c>
    </row>
    <row r="8" spans="1:9" ht="11.25" customHeight="1">
      <c r="A8" s="1776" t="s">
        <v>2244</v>
      </c>
      <c r="B8" s="1776" t="s">
        <v>16</v>
      </c>
      <c r="C8" s="1776" t="s">
        <v>2270</v>
      </c>
      <c r="D8" s="1776" t="s">
        <v>2271</v>
      </c>
      <c r="E8" s="1776" t="s">
        <v>2272</v>
      </c>
      <c r="F8" s="1776" t="s">
        <v>2266</v>
      </c>
      <c r="G8" s="1776" t="s">
        <v>22</v>
      </c>
      <c r="H8" s="1776" t="s">
        <v>22</v>
      </c>
      <c r="I8" s="1776" t="s">
        <v>806</v>
      </c>
    </row>
    <row r="9" spans="1:9" ht="11.25" customHeight="1">
      <c r="A9" s="1776" t="s">
        <v>2244</v>
      </c>
      <c r="B9" s="1776" t="s">
        <v>16</v>
      </c>
      <c r="C9" s="1776" t="s">
        <v>2273</v>
      </c>
      <c r="D9" s="1776" t="s">
        <v>2274</v>
      </c>
      <c r="E9" s="1776" t="s">
        <v>2275</v>
      </c>
      <c r="F9" s="1776" t="s">
        <v>2276</v>
      </c>
      <c r="G9" s="1776" t="s">
        <v>22</v>
      </c>
      <c r="H9" s="1776" t="s">
        <v>22</v>
      </c>
      <c r="I9" s="1776" t="s">
        <v>806</v>
      </c>
    </row>
    <row r="10" spans="1:9" ht="11.25" customHeight="1">
      <c r="A10" s="1776" t="s">
        <v>2244</v>
      </c>
      <c r="B10" s="1776" t="s">
        <v>16</v>
      </c>
      <c r="C10" s="1776" t="s">
        <v>2277</v>
      </c>
      <c r="D10" s="1776" t="s">
        <v>2278</v>
      </c>
      <c r="E10" s="1776" t="s">
        <v>2279</v>
      </c>
      <c r="F10" s="1776" t="s">
        <v>2280</v>
      </c>
      <c r="G10" s="1776" t="s">
        <v>22</v>
      </c>
      <c r="H10" s="1776" t="s">
        <v>22</v>
      </c>
      <c r="I10" s="1776" t="s">
        <v>806</v>
      </c>
    </row>
    <row r="11" spans="1:9" ht="11.25" customHeight="1">
      <c r="A11" s="1776" t="s">
        <v>2244</v>
      </c>
      <c r="B11" s="1776" t="s">
        <v>16</v>
      </c>
      <c r="C11" s="1776" t="s">
        <v>2281</v>
      </c>
      <c r="D11" s="1776" t="s">
        <v>2282</v>
      </c>
      <c r="E11" s="1776" t="s">
        <v>2283</v>
      </c>
      <c r="F11" s="1776" t="s">
        <v>2252</v>
      </c>
      <c r="G11" s="1776" t="s">
        <v>22</v>
      </c>
      <c r="H11" s="1776" t="s">
        <v>22</v>
      </c>
      <c r="I11" s="1776" t="s">
        <v>806</v>
      </c>
    </row>
    <row r="12" spans="1:9" ht="11.25" customHeight="1">
      <c r="A12" s="1776" t="s">
        <v>2244</v>
      </c>
      <c r="B12" s="1776" t="s">
        <v>16</v>
      </c>
      <c r="C12" s="1776" t="s">
        <v>2284</v>
      </c>
      <c r="D12" s="1776" t="s">
        <v>2285</v>
      </c>
      <c r="E12" s="1776" t="s">
        <v>2286</v>
      </c>
      <c r="F12" s="1776" t="s">
        <v>2287</v>
      </c>
      <c r="G12" s="1776" t="s">
        <v>22</v>
      </c>
      <c r="H12" s="1776" t="s">
        <v>22</v>
      </c>
      <c r="I12" s="1776" t="s">
        <v>806</v>
      </c>
    </row>
    <row r="13" spans="1:9" ht="11.25" customHeight="1">
      <c r="A13" s="1776" t="s">
        <v>2244</v>
      </c>
      <c r="B13" s="1776" t="s">
        <v>16</v>
      </c>
      <c r="C13" s="1776" t="s">
        <v>2288</v>
      </c>
      <c r="D13" s="1776" t="s">
        <v>2289</v>
      </c>
      <c r="E13" s="1776" t="s">
        <v>2290</v>
      </c>
      <c r="F13" s="1776" t="s">
        <v>2280</v>
      </c>
      <c r="G13" s="1776" t="s">
        <v>22</v>
      </c>
      <c r="H13" s="1776" t="s">
        <v>22</v>
      </c>
      <c r="I13" s="1776" t="s">
        <v>806</v>
      </c>
    </row>
    <row r="14" spans="1:9" ht="11.25" customHeight="1">
      <c r="A14" s="1776" t="s">
        <v>2244</v>
      </c>
      <c r="B14" s="1776" t="s">
        <v>16</v>
      </c>
      <c r="C14" s="1776" t="s">
        <v>2291</v>
      </c>
      <c r="D14" s="1776" t="s">
        <v>2292</v>
      </c>
      <c r="E14" s="1776" t="s">
        <v>2293</v>
      </c>
      <c r="F14" s="1776" t="s">
        <v>2294</v>
      </c>
      <c r="G14" s="1776" t="s">
        <v>22</v>
      </c>
      <c r="H14" s="1776" t="s">
        <v>22</v>
      </c>
      <c r="I14" s="1776" t="s">
        <v>806</v>
      </c>
    </row>
    <row r="15" spans="1:9" ht="11.25" customHeight="1">
      <c r="A15" s="1776" t="s">
        <v>2244</v>
      </c>
      <c r="B15" s="1776" t="s">
        <v>16</v>
      </c>
      <c r="C15" s="1776" t="s">
        <v>2295</v>
      </c>
      <c r="D15" s="1776" t="s">
        <v>2296</v>
      </c>
      <c r="E15" s="1776" t="s">
        <v>2297</v>
      </c>
      <c r="F15" s="1776" t="s">
        <v>2298</v>
      </c>
      <c r="G15" s="1776" t="s">
        <v>22</v>
      </c>
      <c r="H15" s="1776" t="s">
        <v>22</v>
      </c>
      <c r="I15" s="1776" t="s">
        <v>806</v>
      </c>
    </row>
    <row r="16" spans="1:9" ht="11.25" customHeight="1">
      <c r="A16" s="1776" t="s">
        <v>2244</v>
      </c>
      <c r="B16" s="1776" t="s">
        <v>16</v>
      </c>
      <c r="C16" s="1776" t="s">
        <v>2299</v>
      </c>
      <c r="D16" s="1776" t="s">
        <v>2300</v>
      </c>
      <c r="E16" s="1776" t="s">
        <v>2301</v>
      </c>
      <c r="F16" s="1776" t="s">
        <v>2302</v>
      </c>
      <c r="G16" s="1776" t="s">
        <v>22</v>
      </c>
      <c r="H16" s="1776" t="s">
        <v>22</v>
      </c>
      <c r="I16" s="1776" t="s">
        <v>806</v>
      </c>
    </row>
    <row r="17" spans="1:9" ht="11.25" customHeight="1">
      <c r="A17" s="1776" t="s">
        <v>2244</v>
      </c>
      <c r="B17" s="1776" t="s">
        <v>16</v>
      </c>
      <c r="C17" s="1776" t="s">
        <v>2303</v>
      </c>
      <c r="D17" s="1776" t="s">
        <v>2304</v>
      </c>
      <c r="E17" s="1776" t="s">
        <v>2305</v>
      </c>
      <c r="F17" s="1776" t="s">
        <v>2280</v>
      </c>
      <c r="G17" s="1776" t="s">
        <v>22</v>
      </c>
      <c r="H17" s="1776" t="s">
        <v>22</v>
      </c>
      <c r="I17" s="1776" t="s">
        <v>806</v>
      </c>
    </row>
    <row r="18" spans="1:9" ht="11.25" customHeight="1">
      <c r="A18" s="1776" t="s">
        <v>2244</v>
      </c>
      <c r="B18" s="1776" t="s">
        <v>16</v>
      </c>
      <c r="C18" s="1776" t="s">
        <v>2306</v>
      </c>
      <c r="D18" s="1776" t="s">
        <v>2307</v>
      </c>
      <c r="E18" s="1776" t="s">
        <v>2308</v>
      </c>
      <c r="F18" s="1776" t="s">
        <v>2309</v>
      </c>
      <c r="G18" s="1776" t="s">
        <v>22</v>
      </c>
      <c r="H18" s="1776" t="s">
        <v>22</v>
      </c>
      <c r="I18" s="1776" t="s">
        <v>806</v>
      </c>
    </row>
    <row r="19" spans="1:9" ht="11.25" customHeight="1">
      <c r="A19" s="1776" t="s">
        <v>2244</v>
      </c>
      <c r="B19" s="1776" t="s">
        <v>16</v>
      </c>
      <c r="C19" s="1776" t="s">
        <v>2310</v>
      </c>
      <c r="D19" s="1776" t="s">
        <v>2311</v>
      </c>
      <c r="E19" s="1776" t="s">
        <v>2312</v>
      </c>
      <c r="F19" s="1776" t="s">
        <v>2313</v>
      </c>
      <c r="G19" s="1776" t="s">
        <v>22</v>
      </c>
      <c r="H19" s="1776" t="s">
        <v>22</v>
      </c>
      <c r="I19" s="1776" t="s">
        <v>806</v>
      </c>
    </row>
    <row r="20" spans="1:9" ht="11.25" customHeight="1">
      <c r="A20" s="1776" t="s">
        <v>2244</v>
      </c>
      <c r="B20" s="1776" t="s">
        <v>16</v>
      </c>
      <c r="C20" s="1776" t="s">
        <v>2314</v>
      </c>
      <c r="D20" s="1776" t="s">
        <v>2315</v>
      </c>
      <c r="E20" s="1776" t="s">
        <v>2316</v>
      </c>
      <c r="F20" s="1776" t="s">
        <v>2309</v>
      </c>
      <c r="G20" s="1776" t="s">
        <v>22</v>
      </c>
      <c r="H20" s="1776" t="s">
        <v>22</v>
      </c>
      <c r="I20" s="1776" t="s">
        <v>806</v>
      </c>
    </row>
    <row r="21" spans="1:9" ht="11.25" customHeight="1">
      <c r="A21" s="1776" t="s">
        <v>2244</v>
      </c>
      <c r="B21" s="1776" t="s">
        <v>16</v>
      </c>
      <c r="C21" s="1776" t="s">
        <v>2317</v>
      </c>
      <c r="D21" s="1776" t="s">
        <v>2318</v>
      </c>
      <c r="E21" s="1776" t="s">
        <v>2319</v>
      </c>
      <c r="F21" s="1776" t="s">
        <v>2276</v>
      </c>
      <c r="G21" s="1776" t="s">
        <v>22</v>
      </c>
      <c r="H21" s="1776" t="s">
        <v>22</v>
      </c>
      <c r="I21" s="1776" t="s">
        <v>806</v>
      </c>
    </row>
    <row r="22" spans="1:9" ht="11.25" customHeight="1">
      <c r="A22" s="1776" t="s">
        <v>2244</v>
      </c>
      <c r="B22" s="1776" t="s">
        <v>16</v>
      </c>
      <c r="C22" s="1776" t="s">
        <v>2320</v>
      </c>
      <c r="D22" s="1776" t="s">
        <v>2321</v>
      </c>
      <c r="E22" s="1776" t="s">
        <v>2322</v>
      </c>
      <c r="F22" s="1776" t="s">
        <v>2323</v>
      </c>
      <c r="G22" s="1776" t="s">
        <v>22</v>
      </c>
      <c r="H22" s="1776" t="s">
        <v>22</v>
      </c>
      <c r="I22" s="1776" t="s">
        <v>806</v>
      </c>
    </row>
    <row r="23" spans="1:9" ht="11.25" customHeight="1">
      <c r="A23" s="1776" t="s">
        <v>2244</v>
      </c>
      <c r="B23" s="1776" t="s">
        <v>16</v>
      </c>
      <c r="C23" s="1776" t="s">
        <v>2324</v>
      </c>
      <c r="D23" s="1776" t="s">
        <v>2325</v>
      </c>
      <c r="E23" s="1776" t="s">
        <v>2326</v>
      </c>
      <c r="F23" s="1776" t="s">
        <v>2257</v>
      </c>
      <c r="G23" s="1776" t="s">
        <v>2327</v>
      </c>
      <c r="H23" s="1776" t="s">
        <v>22</v>
      </c>
      <c r="I23" s="1776" t="s">
        <v>806</v>
      </c>
    </row>
    <row r="24" spans="1:9" ht="11.25" customHeight="1">
      <c r="A24" s="1776" t="s">
        <v>2244</v>
      </c>
      <c r="B24" s="1776" t="s">
        <v>16</v>
      </c>
      <c r="C24" s="1776" t="s">
        <v>2328</v>
      </c>
      <c r="D24" s="1776" t="s">
        <v>2329</v>
      </c>
      <c r="E24" s="1776" t="s">
        <v>2330</v>
      </c>
      <c r="F24" s="1776" t="s">
        <v>2309</v>
      </c>
      <c r="G24" s="1776" t="s">
        <v>22</v>
      </c>
      <c r="H24" s="1776" t="s">
        <v>22</v>
      </c>
      <c r="I24" s="1776" t="s">
        <v>806</v>
      </c>
    </row>
    <row r="25" spans="1:9" ht="11.25" customHeight="1">
      <c r="A25" s="1776" t="s">
        <v>2244</v>
      </c>
      <c r="B25" s="1776" t="s">
        <v>16</v>
      </c>
      <c r="C25" s="1776" t="s">
        <v>2331</v>
      </c>
      <c r="D25" s="1776" t="s">
        <v>2332</v>
      </c>
      <c r="E25" s="1776" t="s">
        <v>2333</v>
      </c>
      <c r="F25" s="1776" t="s">
        <v>2266</v>
      </c>
      <c r="G25" s="1776" t="s">
        <v>22</v>
      </c>
      <c r="H25" s="1776" t="s">
        <v>22</v>
      </c>
      <c r="I25" s="1776" t="s">
        <v>806</v>
      </c>
    </row>
    <row r="26" spans="1:9" ht="11.25" customHeight="1">
      <c r="A26" s="1776" t="s">
        <v>2244</v>
      </c>
      <c r="B26" s="1776" t="s">
        <v>16</v>
      </c>
      <c r="C26" s="1776" t="s">
        <v>2334</v>
      </c>
      <c r="D26" s="1776" t="s">
        <v>2335</v>
      </c>
      <c r="E26" s="1776" t="s">
        <v>2336</v>
      </c>
      <c r="F26" s="1776" t="s">
        <v>2266</v>
      </c>
      <c r="G26" s="1776" t="s">
        <v>2337</v>
      </c>
      <c r="H26" s="1776" t="s">
        <v>22</v>
      </c>
      <c r="I26" s="1776" t="s">
        <v>806</v>
      </c>
    </row>
    <row r="27" spans="1:9" ht="11.25" customHeight="1">
      <c r="A27" s="1776" t="s">
        <v>2244</v>
      </c>
      <c r="B27" s="1776" t="s">
        <v>16</v>
      </c>
      <c r="C27" s="1776" t="s">
        <v>2338</v>
      </c>
      <c r="D27" s="1776" t="s">
        <v>2339</v>
      </c>
      <c r="E27" s="1776" t="s">
        <v>2340</v>
      </c>
      <c r="F27" s="1776" t="s">
        <v>2276</v>
      </c>
      <c r="G27" s="1776" t="s">
        <v>22</v>
      </c>
      <c r="H27" s="1776" t="s">
        <v>22</v>
      </c>
      <c r="I27" s="1776" t="s">
        <v>806</v>
      </c>
    </row>
    <row r="28" spans="1:9" ht="11.25" customHeight="1">
      <c r="A28" s="1776" t="s">
        <v>2244</v>
      </c>
      <c r="B28" s="1776" t="s">
        <v>16</v>
      </c>
      <c r="C28" s="1776" t="s">
        <v>2341</v>
      </c>
      <c r="D28" s="1776" t="s">
        <v>2342</v>
      </c>
      <c r="E28" s="1776" t="s">
        <v>2343</v>
      </c>
      <c r="F28" s="1776" t="s">
        <v>2344</v>
      </c>
      <c r="G28" s="1776" t="s">
        <v>2345</v>
      </c>
      <c r="H28" s="1776" t="s">
        <v>22</v>
      </c>
      <c r="I28" s="1776" t="s">
        <v>806</v>
      </c>
    </row>
    <row r="29" spans="1:9" ht="11.25" customHeight="1">
      <c r="A29" s="1776" t="s">
        <v>2244</v>
      </c>
      <c r="B29" s="1776" t="s">
        <v>16</v>
      </c>
      <c r="C29" s="1776" t="s">
        <v>2346</v>
      </c>
      <c r="D29" s="1776" t="s">
        <v>2347</v>
      </c>
      <c r="E29" s="1776" t="s">
        <v>2348</v>
      </c>
      <c r="F29" s="1776" t="s">
        <v>2344</v>
      </c>
      <c r="G29" s="1776" t="s">
        <v>22</v>
      </c>
      <c r="H29" s="1776" t="s">
        <v>22</v>
      </c>
      <c r="I29" s="1776" t="s">
        <v>806</v>
      </c>
    </row>
    <row r="30" spans="1:9" ht="11.25" customHeight="1">
      <c r="A30" s="1776" t="s">
        <v>2244</v>
      </c>
      <c r="B30" s="1776" t="s">
        <v>16</v>
      </c>
      <c r="C30" s="1776" t="s">
        <v>2349</v>
      </c>
      <c r="D30" s="1776" t="s">
        <v>2350</v>
      </c>
      <c r="E30" s="1776" t="s">
        <v>2351</v>
      </c>
      <c r="F30" s="1776" t="s">
        <v>2257</v>
      </c>
      <c r="G30" s="1776" t="s">
        <v>22</v>
      </c>
      <c r="H30" s="1776" t="s">
        <v>22</v>
      </c>
      <c r="I30" s="1776" t="s">
        <v>806</v>
      </c>
    </row>
    <row r="31" spans="1:9" ht="11.25" customHeight="1">
      <c r="A31" s="1776" t="s">
        <v>2244</v>
      </c>
      <c r="B31" s="1776" t="s">
        <v>16</v>
      </c>
      <c r="C31" s="1776" t="s">
        <v>2352</v>
      </c>
      <c r="D31" s="1776" t="s">
        <v>2353</v>
      </c>
      <c r="E31" s="1776" t="s">
        <v>2354</v>
      </c>
      <c r="F31" s="1776" t="s">
        <v>2355</v>
      </c>
      <c r="G31" s="1776" t="s">
        <v>22</v>
      </c>
      <c r="H31" s="1776" t="s">
        <v>22</v>
      </c>
      <c r="I31" s="1776" t="s">
        <v>806</v>
      </c>
    </row>
    <row r="32" spans="1:9" ht="11.25" customHeight="1">
      <c r="A32" s="1776" t="s">
        <v>2244</v>
      </c>
      <c r="B32" s="1776" t="s">
        <v>16</v>
      </c>
      <c r="C32" s="1776" t="s">
        <v>2356</v>
      </c>
      <c r="D32" s="1776" t="s">
        <v>2357</v>
      </c>
      <c r="E32" s="1776" t="s">
        <v>2358</v>
      </c>
      <c r="F32" s="1776" t="s">
        <v>2287</v>
      </c>
      <c r="G32" s="1776" t="s">
        <v>22</v>
      </c>
      <c r="H32" s="1776" t="s">
        <v>22</v>
      </c>
      <c r="I32" s="1776" t="s">
        <v>806</v>
      </c>
    </row>
    <row r="33" spans="1:9" ht="11.25" customHeight="1">
      <c r="A33" s="1776" t="s">
        <v>2244</v>
      </c>
      <c r="B33" s="1776" t="s">
        <v>16</v>
      </c>
      <c r="C33" s="1776" t="s">
        <v>2359</v>
      </c>
      <c r="D33" s="1776" t="s">
        <v>2360</v>
      </c>
      <c r="E33" s="1776" t="s">
        <v>2361</v>
      </c>
      <c r="F33" s="1776" t="s">
        <v>2313</v>
      </c>
      <c r="G33" s="1776" t="s">
        <v>22</v>
      </c>
      <c r="H33" s="1776" t="s">
        <v>22</v>
      </c>
      <c r="I33" s="1776" t="s">
        <v>806</v>
      </c>
    </row>
    <row r="34" spans="1:9" ht="11.25" customHeight="1">
      <c r="A34" s="1776" t="s">
        <v>2244</v>
      </c>
      <c r="B34" s="1776" t="s">
        <v>16</v>
      </c>
      <c r="C34" s="1776" t="s">
        <v>2362</v>
      </c>
      <c r="D34" s="1776" t="s">
        <v>2363</v>
      </c>
      <c r="E34" s="1776" t="s">
        <v>2364</v>
      </c>
      <c r="F34" s="1776" t="s">
        <v>2257</v>
      </c>
      <c r="G34" s="1776" t="s">
        <v>22</v>
      </c>
      <c r="H34" s="1776" t="s">
        <v>22</v>
      </c>
      <c r="I34" s="1776" t="s">
        <v>806</v>
      </c>
    </row>
    <row r="35" spans="1:9" ht="11.25" customHeight="1">
      <c r="A35" s="1776" t="s">
        <v>2244</v>
      </c>
      <c r="B35" s="1776" t="s">
        <v>16</v>
      </c>
      <c r="C35" s="1776" t="s">
        <v>2365</v>
      </c>
      <c r="D35" s="1776" t="s">
        <v>2366</v>
      </c>
      <c r="E35" s="1776" t="s">
        <v>2367</v>
      </c>
      <c r="F35" s="1776" t="s">
        <v>2368</v>
      </c>
      <c r="G35" s="1776" t="s">
        <v>22</v>
      </c>
      <c r="H35" s="1776" t="s">
        <v>22</v>
      </c>
      <c r="I35" s="1776" t="s">
        <v>806</v>
      </c>
    </row>
    <row r="36" spans="1:9" ht="11.25" customHeight="1">
      <c r="A36" s="1776" t="s">
        <v>2244</v>
      </c>
      <c r="B36" s="1776" t="s">
        <v>16</v>
      </c>
      <c r="C36" s="1776" t="s">
        <v>2369</v>
      </c>
      <c r="D36" s="1776" t="s">
        <v>2370</v>
      </c>
      <c r="E36" s="1776" t="s">
        <v>2371</v>
      </c>
      <c r="F36" s="1776" t="s">
        <v>2372</v>
      </c>
      <c r="G36" s="1776" t="s">
        <v>22</v>
      </c>
      <c r="H36" s="1776" t="s">
        <v>22</v>
      </c>
      <c r="I36" s="1776" t="s">
        <v>806</v>
      </c>
    </row>
    <row r="37" spans="1:9" ht="11.25" customHeight="1">
      <c r="A37" s="1776" t="s">
        <v>2244</v>
      </c>
      <c r="B37" s="1776" t="s">
        <v>16</v>
      </c>
      <c r="C37" s="1776" t="s">
        <v>2373</v>
      </c>
      <c r="D37" s="1776" t="s">
        <v>2374</v>
      </c>
      <c r="E37" s="1776" t="s">
        <v>2375</v>
      </c>
      <c r="F37" s="1776" t="s">
        <v>2257</v>
      </c>
      <c r="G37" s="1776" t="s">
        <v>22</v>
      </c>
      <c r="H37" s="1776" t="s">
        <v>22</v>
      </c>
      <c r="I37" s="1776" t="s">
        <v>806</v>
      </c>
    </row>
    <row r="38" spans="1:9" ht="11.25" customHeight="1">
      <c r="A38" s="1776" t="s">
        <v>2244</v>
      </c>
      <c r="B38" s="1776" t="s">
        <v>16</v>
      </c>
      <c r="C38" s="1776" t="s">
        <v>2376</v>
      </c>
      <c r="D38" s="1776" t="s">
        <v>2377</v>
      </c>
      <c r="E38" s="1776" t="s">
        <v>2378</v>
      </c>
      <c r="F38" s="1776" t="s">
        <v>2287</v>
      </c>
      <c r="G38" s="1776" t="s">
        <v>22</v>
      </c>
      <c r="H38" s="1776" t="s">
        <v>22</v>
      </c>
      <c r="I38" s="1776" t="s">
        <v>806</v>
      </c>
    </row>
    <row r="39" spans="1:9" ht="11.25" customHeight="1">
      <c r="A39" s="1776" t="s">
        <v>2244</v>
      </c>
      <c r="B39" s="1776" t="s">
        <v>16</v>
      </c>
      <c r="C39" s="1776" t="s">
        <v>2379</v>
      </c>
      <c r="D39" s="1776" t="s">
        <v>2380</v>
      </c>
      <c r="E39" s="1776" t="s">
        <v>2381</v>
      </c>
      <c r="F39" s="1776" t="s">
        <v>2382</v>
      </c>
      <c r="G39" s="1776" t="s">
        <v>2383</v>
      </c>
      <c r="H39" s="1776" t="s">
        <v>22</v>
      </c>
      <c r="I39" s="1776" t="s">
        <v>806</v>
      </c>
    </row>
    <row r="40" spans="1:9" ht="11.25" customHeight="1">
      <c r="A40" s="1776" t="s">
        <v>2244</v>
      </c>
      <c r="B40" s="1776" t="s">
        <v>16</v>
      </c>
      <c r="C40" s="1776" t="s">
        <v>2384</v>
      </c>
      <c r="D40" s="1776" t="s">
        <v>2385</v>
      </c>
      <c r="E40" s="1776" t="s">
        <v>2386</v>
      </c>
      <c r="F40" s="1776" t="s">
        <v>2252</v>
      </c>
      <c r="G40" s="1776" t="s">
        <v>22</v>
      </c>
      <c r="H40" s="1776" t="s">
        <v>22</v>
      </c>
      <c r="I40" s="1776" t="s">
        <v>806</v>
      </c>
    </row>
    <row r="41" spans="1:9" ht="11.25" customHeight="1">
      <c r="A41" s="1776" t="s">
        <v>2244</v>
      </c>
      <c r="B41" s="1776" t="s">
        <v>16</v>
      </c>
      <c r="C41" s="1776" t="s">
        <v>2387</v>
      </c>
      <c r="D41" s="1776" t="s">
        <v>2388</v>
      </c>
      <c r="E41" s="1776" t="s">
        <v>2386</v>
      </c>
      <c r="F41" s="1776" t="s">
        <v>2389</v>
      </c>
      <c r="G41" s="1776" t="s">
        <v>22</v>
      </c>
      <c r="H41" s="1776" t="s">
        <v>22</v>
      </c>
      <c r="I41" s="1776" t="s">
        <v>806</v>
      </c>
    </row>
    <row r="42" spans="1:9" ht="11.25" customHeight="1">
      <c r="A42" s="1776" t="s">
        <v>2244</v>
      </c>
      <c r="B42" s="1776" t="s">
        <v>16</v>
      </c>
      <c r="C42" s="1776" t="s">
        <v>2390</v>
      </c>
      <c r="D42" s="1776" t="s">
        <v>2391</v>
      </c>
      <c r="E42" s="1776" t="s">
        <v>2386</v>
      </c>
      <c r="F42" s="1776" t="s">
        <v>2392</v>
      </c>
      <c r="G42" s="1776" t="s">
        <v>22</v>
      </c>
      <c r="H42" s="1776" t="s">
        <v>22</v>
      </c>
      <c r="I42" s="1776" t="s">
        <v>806</v>
      </c>
    </row>
    <row r="43" spans="1:9" ht="11.25" customHeight="1">
      <c r="A43" s="1776" t="s">
        <v>2244</v>
      </c>
      <c r="B43" s="1776" t="s">
        <v>16</v>
      </c>
      <c r="C43" s="1776" t="s">
        <v>2393</v>
      </c>
      <c r="D43" s="1776" t="s">
        <v>2394</v>
      </c>
      <c r="E43" s="1776" t="s">
        <v>2386</v>
      </c>
      <c r="F43" s="1776" t="s">
        <v>2395</v>
      </c>
      <c r="G43" s="1776" t="s">
        <v>22</v>
      </c>
      <c r="H43" s="1776" t="s">
        <v>22</v>
      </c>
      <c r="I43" s="1776" t="s">
        <v>806</v>
      </c>
    </row>
    <row r="44" spans="1:9" ht="11.25" customHeight="1">
      <c r="A44" s="1776" t="s">
        <v>2244</v>
      </c>
      <c r="B44" s="1776" t="s">
        <v>16</v>
      </c>
      <c r="C44" s="1776" t="s">
        <v>2396</v>
      </c>
      <c r="D44" s="1776" t="s">
        <v>2397</v>
      </c>
      <c r="E44" s="1776" t="s">
        <v>2386</v>
      </c>
      <c r="F44" s="1776" t="s">
        <v>2398</v>
      </c>
      <c r="G44" s="1776" t="s">
        <v>22</v>
      </c>
      <c r="H44" s="1776" t="s">
        <v>22</v>
      </c>
      <c r="I44" s="1776" t="s">
        <v>806</v>
      </c>
    </row>
    <row r="45" spans="1:9" ht="11.25" customHeight="1">
      <c r="A45" s="1776" t="s">
        <v>2244</v>
      </c>
      <c r="B45" s="1776" t="s">
        <v>16</v>
      </c>
      <c r="C45" s="1776" t="s">
        <v>2399</v>
      </c>
      <c r="D45" s="1776" t="s">
        <v>2400</v>
      </c>
      <c r="E45" s="1776" t="s">
        <v>2386</v>
      </c>
      <c r="F45" s="1776" t="s">
        <v>2401</v>
      </c>
      <c r="G45" s="1776" t="s">
        <v>22</v>
      </c>
      <c r="H45" s="1776" t="s">
        <v>22</v>
      </c>
      <c r="I45" s="1776" t="s">
        <v>806</v>
      </c>
    </row>
    <row r="46" spans="1:9" ht="11.25" customHeight="1">
      <c r="A46" s="1776" t="s">
        <v>2244</v>
      </c>
      <c r="B46" s="1776" t="s">
        <v>16</v>
      </c>
      <c r="C46" s="1776" t="s">
        <v>2402</v>
      </c>
      <c r="D46" s="1776" t="s">
        <v>2403</v>
      </c>
      <c r="E46" s="1776" t="s">
        <v>2386</v>
      </c>
      <c r="F46" s="1776" t="s">
        <v>2404</v>
      </c>
      <c r="G46" s="1776" t="s">
        <v>22</v>
      </c>
      <c r="H46" s="1776" t="s">
        <v>22</v>
      </c>
      <c r="I46" s="1776" t="s">
        <v>806</v>
      </c>
    </row>
    <row r="47" spans="1:9" ht="11.25" customHeight="1">
      <c r="A47" s="1776" t="s">
        <v>2244</v>
      </c>
      <c r="B47" s="1776" t="s">
        <v>16</v>
      </c>
      <c r="C47" s="1776" t="s">
        <v>2405</v>
      </c>
      <c r="D47" s="1776" t="s">
        <v>2406</v>
      </c>
      <c r="E47" s="1776" t="s">
        <v>2386</v>
      </c>
      <c r="F47" s="1776" t="s">
        <v>2407</v>
      </c>
      <c r="G47" s="1776" t="s">
        <v>22</v>
      </c>
      <c r="H47" s="1776" t="s">
        <v>22</v>
      </c>
      <c r="I47" s="1776" t="s">
        <v>806</v>
      </c>
    </row>
    <row r="48" spans="1:9" ht="11.25" customHeight="1">
      <c r="A48" s="1776" t="s">
        <v>2244</v>
      </c>
      <c r="B48" s="1776" t="s">
        <v>16</v>
      </c>
      <c r="C48" s="1776" t="s">
        <v>2408</v>
      </c>
      <c r="D48" s="1776" t="s">
        <v>2409</v>
      </c>
      <c r="E48" s="1776" t="s">
        <v>2410</v>
      </c>
      <c r="F48" s="1776" t="s">
        <v>2411</v>
      </c>
      <c r="G48" s="1776" t="s">
        <v>22</v>
      </c>
      <c r="H48" s="1776" t="s">
        <v>22</v>
      </c>
      <c r="I48" s="1776" t="s">
        <v>806</v>
      </c>
    </row>
    <row r="49" spans="1:9" ht="11.25" customHeight="1">
      <c r="A49" s="1776" t="s">
        <v>2244</v>
      </c>
      <c r="B49" s="1776" t="s">
        <v>16</v>
      </c>
      <c r="C49" s="1776" t="s">
        <v>2412</v>
      </c>
      <c r="D49" s="1776" t="s">
        <v>2413</v>
      </c>
      <c r="E49" s="1776" t="s">
        <v>2414</v>
      </c>
      <c r="F49" s="1776" t="s">
        <v>2252</v>
      </c>
      <c r="G49" s="1776" t="s">
        <v>22</v>
      </c>
      <c r="H49" s="1776" t="s">
        <v>22</v>
      </c>
      <c r="I49" s="1776" t="s">
        <v>806</v>
      </c>
    </row>
    <row r="50" spans="1:9" ht="11.25" customHeight="1">
      <c r="A50" s="1776" t="s">
        <v>2244</v>
      </c>
      <c r="B50" s="1776" t="s">
        <v>16</v>
      </c>
      <c r="C50" s="1776" t="s">
        <v>2415</v>
      </c>
      <c r="D50" s="1776" t="s">
        <v>2416</v>
      </c>
      <c r="E50" s="1776" t="s">
        <v>2417</v>
      </c>
      <c r="F50" s="1776" t="s">
        <v>2257</v>
      </c>
      <c r="G50" s="1776" t="s">
        <v>22</v>
      </c>
      <c r="H50" s="1776" t="s">
        <v>22</v>
      </c>
      <c r="I50" s="1776" t="s">
        <v>806</v>
      </c>
    </row>
    <row r="51" spans="1:9" ht="11.25" customHeight="1">
      <c r="A51" s="1776" t="s">
        <v>2244</v>
      </c>
      <c r="B51" s="1776" t="s">
        <v>16</v>
      </c>
      <c r="C51" s="1776" t="s">
        <v>2418</v>
      </c>
      <c r="D51" s="1776" t="s">
        <v>2419</v>
      </c>
      <c r="E51" s="1776" t="s">
        <v>2420</v>
      </c>
      <c r="F51" s="1776" t="s">
        <v>2261</v>
      </c>
      <c r="G51" s="1776" t="s">
        <v>22</v>
      </c>
      <c r="H51" s="1776" t="s">
        <v>22</v>
      </c>
      <c r="I51" s="1776" t="s">
        <v>806</v>
      </c>
    </row>
    <row r="52" spans="1:9" ht="11.25" customHeight="1">
      <c r="A52" s="1776" t="s">
        <v>2244</v>
      </c>
      <c r="B52" s="1776" t="s">
        <v>16</v>
      </c>
      <c r="C52" s="1776" t="s">
        <v>2421</v>
      </c>
      <c r="D52" s="1776" t="s">
        <v>2422</v>
      </c>
      <c r="E52" s="1776" t="s">
        <v>2423</v>
      </c>
      <c r="F52" s="1776" t="s">
        <v>2424</v>
      </c>
      <c r="G52" s="1776" t="s">
        <v>22</v>
      </c>
      <c r="H52" s="1776" t="s">
        <v>22</v>
      </c>
      <c r="I52" s="1776" t="s">
        <v>806</v>
      </c>
    </row>
    <row r="53" spans="1:9" ht="11.25" customHeight="1">
      <c r="A53" s="1776" t="s">
        <v>2244</v>
      </c>
      <c r="B53" s="1776" t="s">
        <v>16</v>
      </c>
      <c r="C53" s="1776" t="s">
        <v>2425</v>
      </c>
      <c r="D53" s="1776" t="s">
        <v>2426</v>
      </c>
      <c r="E53" s="1776" t="s">
        <v>2427</v>
      </c>
      <c r="F53" s="1776" t="s">
        <v>2428</v>
      </c>
      <c r="G53" s="1776" t="s">
        <v>22</v>
      </c>
      <c r="H53" s="1776" t="s">
        <v>22</v>
      </c>
      <c r="I53" s="1776" t="s">
        <v>806</v>
      </c>
    </row>
    <row r="54" spans="1:9" ht="11.25" customHeight="1">
      <c r="A54" s="1776" t="s">
        <v>2244</v>
      </c>
      <c r="B54" s="1776" t="s">
        <v>16</v>
      </c>
      <c r="C54" s="1776" t="s">
        <v>2429</v>
      </c>
      <c r="D54" s="1776" t="s">
        <v>2430</v>
      </c>
      <c r="E54" s="1776" t="s">
        <v>2431</v>
      </c>
      <c r="F54" s="1776" t="s">
        <v>2432</v>
      </c>
      <c r="G54" s="1776" t="s">
        <v>22</v>
      </c>
      <c r="H54" s="1776" t="s">
        <v>22</v>
      </c>
      <c r="I54" s="1776" t="s">
        <v>806</v>
      </c>
    </row>
    <row r="55" spans="1:9" ht="11.25" customHeight="1">
      <c r="A55" s="1776" t="s">
        <v>2244</v>
      </c>
      <c r="B55" s="1776" t="s">
        <v>16</v>
      </c>
      <c r="C55" s="1776" t="s">
        <v>2433</v>
      </c>
      <c r="D55" s="1776" t="s">
        <v>2434</v>
      </c>
      <c r="E55" s="1776" t="s">
        <v>2435</v>
      </c>
      <c r="F55" s="1776" t="s">
        <v>2436</v>
      </c>
      <c r="G55" s="1776" t="s">
        <v>22</v>
      </c>
      <c r="H55" s="1776" t="s">
        <v>22</v>
      </c>
      <c r="I55" s="1776" t="s">
        <v>806</v>
      </c>
    </row>
    <row r="56" spans="1:9" ht="11.25" customHeight="1">
      <c r="A56" s="1776" t="s">
        <v>2244</v>
      </c>
      <c r="B56" s="1776" t="s">
        <v>16</v>
      </c>
      <c r="C56" s="1776" t="s">
        <v>2437</v>
      </c>
      <c r="D56" s="1776" t="s">
        <v>2438</v>
      </c>
      <c r="E56" s="1776" t="s">
        <v>2439</v>
      </c>
      <c r="F56" s="1776" t="s">
        <v>2261</v>
      </c>
      <c r="G56" s="1776" t="s">
        <v>22</v>
      </c>
      <c r="H56" s="1776" t="s">
        <v>22</v>
      </c>
      <c r="I56" s="1776" t="s">
        <v>806</v>
      </c>
    </row>
    <row r="57" spans="1:9" ht="11.25" customHeight="1">
      <c r="A57" s="1776" t="s">
        <v>2244</v>
      </c>
      <c r="B57" s="1776" t="s">
        <v>16</v>
      </c>
      <c r="C57" s="1776" t="s">
        <v>2440</v>
      </c>
      <c r="D57" s="1776" t="s">
        <v>2441</v>
      </c>
      <c r="E57" s="1776" t="s">
        <v>2442</v>
      </c>
      <c r="F57" s="1776" t="s">
        <v>2436</v>
      </c>
      <c r="G57" s="1776" t="s">
        <v>22</v>
      </c>
      <c r="H57" s="1776" t="s">
        <v>22</v>
      </c>
      <c r="I57" s="1776" t="s">
        <v>806</v>
      </c>
    </row>
    <row r="58" spans="1:9" ht="11.25" customHeight="1">
      <c r="A58" s="1776" t="s">
        <v>2244</v>
      </c>
      <c r="B58" s="1776" t="s">
        <v>16</v>
      </c>
      <c r="C58" s="1776" t="s">
        <v>2443</v>
      </c>
      <c r="D58" s="1776" t="s">
        <v>2444</v>
      </c>
      <c r="E58" s="1776" t="s">
        <v>2445</v>
      </c>
      <c r="F58" s="1776" t="s">
        <v>2446</v>
      </c>
      <c r="G58" s="1776" t="s">
        <v>22</v>
      </c>
      <c r="H58" s="1776" t="s">
        <v>22</v>
      </c>
      <c r="I58" s="1776" t="s">
        <v>806</v>
      </c>
    </row>
    <row r="59" spans="1:9" ht="11.25" customHeight="1">
      <c r="A59" s="1776" t="s">
        <v>2244</v>
      </c>
      <c r="B59" s="1776" t="s">
        <v>16</v>
      </c>
      <c r="C59" s="1776" t="s">
        <v>2447</v>
      </c>
      <c r="D59" s="1776" t="s">
        <v>2448</v>
      </c>
      <c r="E59" s="1776" t="s">
        <v>2449</v>
      </c>
      <c r="F59" s="1776" t="s">
        <v>2323</v>
      </c>
      <c r="G59" s="1776" t="s">
        <v>2450</v>
      </c>
      <c r="H59" s="1776" t="s">
        <v>22</v>
      </c>
      <c r="I59" s="1776" t="s">
        <v>806</v>
      </c>
    </row>
    <row r="60" spans="1:9" ht="11.25" customHeight="1">
      <c r="A60" s="1776" t="s">
        <v>2244</v>
      </c>
      <c r="B60" s="1776" t="s">
        <v>16</v>
      </c>
      <c r="C60" s="1776" t="s">
        <v>2451</v>
      </c>
      <c r="D60" s="1776" t="s">
        <v>2452</v>
      </c>
      <c r="E60" s="1776" t="s">
        <v>2453</v>
      </c>
      <c r="F60" s="1776" t="s">
        <v>2257</v>
      </c>
      <c r="G60" s="1776" t="s">
        <v>22</v>
      </c>
      <c r="H60" s="1776" t="s">
        <v>22</v>
      </c>
      <c r="I60" s="1776" t="s">
        <v>806</v>
      </c>
    </row>
    <row r="61" spans="1:9" ht="11.25" customHeight="1">
      <c r="A61" s="1776" t="s">
        <v>2244</v>
      </c>
      <c r="B61" s="1776" t="s">
        <v>16</v>
      </c>
      <c r="C61" s="1776" t="s">
        <v>2454</v>
      </c>
      <c r="D61" s="1776" t="s">
        <v>2455</v>
      </c>
      <c r="E61" s="1776" t="s">
        <v>2456</v>
      </c>
      <c r="F61" s="1776" t="s">
        <v>2457</v>
      </c>
      <c r="G61" s="1776" t="s">
        <v>2458</v>
      </c>
      <c r="H61" s="1776" t="s">
        <v>22</v>
      </c>
      <c r="I61" s="1776" t="s">
        <v>806</v>
      </c>
    </row>
    <row r="62" spans="1:9" ht="11.25" customHeight="1">
      <c r="A62" s="1776" t="s">
        <v>2244</v>
      </c>
      <c r="B62" s="1776" t="s">
        <v>16</v>
      </c>
      <c r="C62" s="1776" t="s">
        <v>2459</v>
      </c>
      <c r="D62" s="1776" t="s">
        <v>2460</v>
      </c>
      <c r="E62" s="1776" t="s">
        <v>2461</v>
      </c>
      <c r="F62" s="1776" t="s">
        <v>2287</v>
      </c>
      <c r="G62" s="1776" t="s">
        <v>2462</v>
      </c>
      <c r="H62" s="1776" t="s">
        <v>22</v>
      </c>
      <c r="I62" s="1776" t="s">
        <v>806</v>
      </c>
    </row>
    <row r="63" spans="1:9" ht="11.25" customHeight="1">
      <c r="A63" s="1776" t="s">
        <v>2244</v>
      </c>
      <c r="B63" s="1776" t="s">
        <v>16</v>
      </c>
      <c r="C63" s="1776" t="s">
        <v>2463</v>
      </c>
      <c r="D63" s="1776" t="s">
        <v>2464</v>
      </c>
      <c r="E63" s="1776" t="s">
        <v>2465</v>
      </c>
      <c r="F63" s="1776" t="s">
        <v>2446</v>
      </c>
      <c r="G63" s="1776" t="s">
        <v>22</v>
      </c>
      <c r="H63" s="1776" t="s">
        <v>22</v>
      </c>
      <c r="I63" s="1776" t="s">
        <v>806</v>
      </c>
    </row>
    <row r="64" spans="1:9" ht="11.25" customHeight="1">
      <c r="A64" s="1776" t="s">
        <v>2244</v>
      </c>
      <c r="B64" s="1776" t="s">
        <v>16</v>
      </c>
      <c r="C64" s="1776" t="s">
        <v>2466</v>
      </c>
      <c r="D64" s="1776" t="s">
        <v>2467</v>
      </c>
      <c r="E64" s="1776" t="s">
        <v>2468</v>
      </c>
      <c r="F64" s="1776" t="s">
        <v>2266</v>
      </c>
      <c r="G64" s="1776" t="s">
        <v>2469</v>
      </c>
      <c r="H64" s="1776" t="s">
        <v>22</v>
      </c>
      <c r="I64" s="1776" t="s">
        <v>806</v>
      </c>
    </row>
    <row r="65" spans="1:9" ht="11.25" customHeight="1">
      <c r="A65" s="1776" t="s">
        <v>2244</v>
      </c>
      <c r="B65" s="1776" t="s">
        <v>16</v>
      </c>
      <c r="C65" s="1776" t="s">
        <v>2470</v>
      </c>
      <c r="D65" s="1776" t="s">
        <v>2471</v>
      </c>
      <c r="E65" s="1776" t="s">
        <v>2472</v>
      </c>
      <c r="F65" s="1776" t="s">
        <v>2473</v>
      </c>
      <c r="G65" s="1776" t="s">
        <v>2474</v>
      </c>
      <c r="H65" s="1776" t="s">
        <v>22</v>
      </c>
      <c r="I65" s="1776" t="s">
        <v>806</v>
      </c>
    </row>
    <row r="66" spans="1:9" ht="11.25" customHeight="1">
      <c r="A66" s="1776" t="s">
        <v>2244</v>
      </c>
      <c r="B66" s="1776" t="s">
        <v>16</v>
      </c>
      <c r="C66" s="1776" t="s">
        <v>2475</v>
      </c>
      <c r="D66" s="1776" t="s">
        <v>2476</v>
      </c>
      <c r="E66" s="1776" t="s">
        <v>2477</v>
      </c>
      <c r="F66" s="1776" t="s">
        <v>2473</v>
      </c>
      <c r="G66" s="1776" t="s">
        <v>22</v>
      </c>
      <c r="H66" s="1776" t="s">
        <v>22</v>
      </c>
      <c r="I66" s="1776" t="s">
        <v>806</v>
      </c>
    </row>
    <row r="67" spans="1:9" ht="11.25" customHeight="1">
      <c r="A67" s="1776" t="s">
        <v>2244</v>
      </c>
      <c r="B67" s="1776" t="s">
        <v>16</v>
      </c>
      <c r="C67" s="1776" t="s">
        <v>2478</v>
      </c>
      <c r="D67" s="1776" t="s">
        <v>2479</v>
      </c>
      <c r="E67" s="1776" t="s">
        <v>2480</v>
      </c>
      <c r="F67" s="1776" t="s">
        <v>2473</v>
      </c>
      <c r="G67" s="1776" t="s">
        <v>22</v>
      </c>
      <c r="H67" s="1776" t="s">
        <v>22</v>
      </c>
      <c r="I67" s="1776" t="s">
        <v>806</v>
      </c>
    </row>
    <row r="68" spans="1:9" ht="11.25" customHeight="1">
      <c r="A68" s="1776" t="s">
        <v>2244</v>
      </c>
      <c r="B68" s="1776" t="s">
        <v>16</v>
      </c>
      <c r="C68" s="1776" t="s">
        <v>2481</v>
      </c>
      <c r="D68" s="1776" t="s">
        <v>2482</v>
      </c>
      <c r="E68" s="1776" t="s">
        <v>2386</v>
      </c>
      <c r="F68" s="1776" t="s">
        <v>2483</v>
      </c>
      <c r="G68" s="1776" t="s">
        <v>22</v>
      </c>
      <c r="H68" s="1776" t="s">
        <v>22</v>
      </c>
      <c r="I68" s="1776" t="s">
        <v>806</v>
      </c>
    </row>
    <row r="69" spans="1:9" ht="11.25" customHeight="1">
      <c r="A69" s="1776" t="s">
        <v>2244</v>
      </c>
      <c r="B69" s="1776" t="s">
        <v>16</v>
      </c>
      <c r="C69" s="1776" t="s">
        <v>2484</v>
      </c>
      <c r="D69" s="1776" t="s">
        <v>2485</v>
      </c>
      <c r="E69" s="1776" t="s">
        <v>2486</v>
      </c>
      <c r="F69" s="1776" t="s">
        <v>2487</v>
      </c>
      <c r="G69" s="1776" t="s">
        <v>22</v>
      </c>
      <c r="H69" s="1776" t="s">
        <v>22</v>
      </c>
      <c r="I69" s="1776" t="s">
        <v>806</v>
      </c>
    </row>
    <row r="70" spans="1:9" ht="11.25" customHeight="1">
      <c r="A70" s="1776" t="s">
        <v>2244</v>
      </c>
      <c r="B70" s="1776" t="s">
        <v>16</v>
      </c>
      <c r="C70" s="1776" t="s">
        <v>2488</v>
      </c>
      <c r="D70" s="1776" t="s">
        <v>2489</v>
      </c>
      <c r="E70" s="1776" t="s">
        <v>2490</v>
      </c>
      <c r="F70" s="1776" t="s">
        <v>2491</v>
      </c>
      <c r="G70" s="1776" t="s">
        <v>2492</v>
      </c>
      <c r="H70" s="1776" t="s">
        <v>22</v>
      </c>
      <c r="I70" s="1776" t="s">
        <v>806</v>
      </c>
    </row>
    <row r="71" spans="1:9" ht="11.25" customHeight="1">
      <c r="A71" s="1776" t="s">
        <v>2244</v>
      </c>
      <c r="B71" s="1776" t="s">
        <v>16</v>
      </c>
      <c r="C71" s="1776" t="s">
        <v>2493</v>
      </c>
      <c r="D71" s="1776" t="s">
        <v>2494</v>
      </c>
      <c r="E71" s="1776" t="s">
        <v>2495</v>
      </c>
      <c r="F71" s="1776" t="s">
        <v>2496</v>
      </c>
      <c r="G71" s="1776" t="s">
        <v>22</v>
      </c>
      <c r="H71" s="1776" t="s">
        <v>22</v>
      </c>
      <c r="I71" s="1776" t="s">
        <v>806</v>
      </c>
    </row>
    <row r="72" spans="1:9" ht="11.25" customHeight="1">
      <c r="A72" s="1776" t="s">
        <v>2244</v>
      </c>
      <c r="B72" s="1776" t="s">
        <v>16</v>
      </c>
      <c r="C72" s="1776" t="s">
        <v>2497</v>
      </c>
      <c r="D72" s="1776" t="s">
        <v>2498</v>
      </c>
      <c r="E72" s="1776" t="s">
        <v>2499</v>
      </c>
      <c r="F72" s="1776" t="s">
        <v>2500</v>
      </c>
      <c r="G72" s="1776" t="s">
        <v>22</v>
      </c>
      <c r="H72" s="1776" t="s">
        <v>22</v>
      </c>
      <c r="I72" s="1776" t="s">
        <v>806</v>
      </c>
    </row>
    <row r="73" spans="1:9" ht="11.25" customHeight="1">
      <c r="A73" s="1776" t="s">
        <v>2244</v>
      </c>
      <c r="B73" s="1776" t="s">
        <v>16</v>
      </c>
      <c r="C73" s="1776" t="s">
        <v>2501</v>
      </c>
      <c r="D73" s="1776" t="s">
        <v>2502</v>
      </c>
      <c r="E73" s="1776" t="s">
        <v>2503</v>
      </c>
      <c r="F73" s="1776" t="s">
        <v>2344</v>
      </c>
      <c r="G73" s="1776" t="s">
        <v>22</v>
      </c>
      <c r="H73" s="1776" t="s">
        <v>22</v>
      </c>
      <c r="I73" s="1776" t="s">
        <v>806</v>
      </c>
    </row>
    <row r="74" spans="1:9" ht="11.25" customHeight="1">
      <c r="A74" s="1776" t="s">
        <v>2244</v>
      </c>
      <c r="B74" s="1776" t="s">
        <v>16</v>
      </c>
      <c r="C74" s="1776" t="s">
        <v>2504</v>
      </c>
      <c r="D74" s="1776" t="s">
        <v>2505</v>
      </c>
      <c r="E74" s="1776" t="s">
        <v>2506</v>
      </c>
      <c r="F74" s="1776" t="s">
        <v>2507</v>
      </c>
      <c r="G74" s="1776" t="s">
        <v>22</v>
      </c>
      <c r="H74" s="1776" t="s">
        <v>22</v>
      </c>
      <c r="I74" s="1776" t="s">
        <v>806</v>
      </c>
    </row>
    <row r="75" spans="1:9" ht="11.25" customHeight="1">
      <c r="A75" s="1776" t="s">
        <v>2244</v>
      </c>
      <c r="B75" s="1776" t="s">
        <v>16</v>
      </c>
      <c r="C75" s="1776" t="s">
        <v>2508</v>
      </c>
      <c r="D75" s="1776" t="s">
        <v>2509</v>
      </c>
      <c r="E75" s="1776" t="s">
        <v>2510</v>
      </c>
      <c r="F75" s="1776" t="s">
        <v>2511</v>
      </c>
      <c r="G75" s="1776" t="s">
        <v>22</v>
      </c>
      <c r="H75" s="1776" t="s">
        <v>22</v>
      </c>
      <c r="I75" s="1776" t="s">
        <v>806</v>
      </c>
    </row>
    <row r="76" spans="1:9" ht="11.25" customHeight="1">
      <c r="A76" s="1776" t="s">
        <v>2244</v>
      </c>
      <c r="B76" s="1776" t="s">
        <v>16</v>
      </c>
      <c r="C76" s="1776" t="s">
        <v>2512</v>
      </c>
      <c r="D76" s="1776" t="s">
        <v>2513</v>
      </c>
      <c r="E76" s="1776" t="s">
        <v>2514</v>
      </c>
      <c r="F76" s="1776" t="s">
        <v>2515</v>
      </c>
      <c r="G76" s="1776" t="s">
        <v>22</v>
      </c>
      <c r="H76" s="1776" t="s">
        <v>22</v>
      </c>
      <c r="I76" s="1776" t="s">
        <v>806</v>
      </c>
    </row>
    <row r="77" spans="1:9" ht="11.25" customHeight="1">
      <c r="A77" s="1776" t="s">
        <v>2244</v>
      </c>
      <c r="B77" s="1776" t="s">
        <v>16</v>
      </c>
      <c r="C77" s="1776" t="s">
        <v>2516</v>
      </c>
      <c r="D77" s="1776" t="s">
        <v>2517</v>
      </c>
      <c r="E77" s="1776" t="s">
        <v>2518</v>
      </c>
      <c r="F77" s="1776" t="s">
        <v>2519</v>
      </c>
      <c r="G77" s="1776" t="s">
        <v>22</v>
      </c>
      <c r="H77" s="1776" t="s">
        <v>22</v>
      </c>
      <c r="I77" s="1776" t="s">
        <v>806</v>
      </c>
    </row>
    <row r="78" spans="1:9" ht="11.25" customHeight="1">
      <c r="A78" s="1776" t="s">
        <v>2244</v>
      </c>
      <c r="B78" s="1776" t="s">
        <v>16</v>
      </c>
      <c r="C78" s="1776" t="s">
        <v>2520</v>
      </c>
      <c r="D78" s="1776" t="s">
        <v>2521</v>
      </c>
      <c r="E78" s="1776" t="s">
        <v>2522</v>
      </c>
      <c r="F78" s="1776" t="s">
        <v>2523</v>
      </c>
      <c r="G78" s="1776" t="s">
        <v>22</v>
      </c>
      <c r="H78" s="1776" t="s">
        <v>22</v>
      </c>
      <c r="I78" s="1776" t="s">
        <v>806</v>
      </c>
    </row>
    <row r="79" spans="1:9" ht="11.25" customHeight="1">
      <c r="A79" s="1776" t="s">
        <v>2244</v>
      </c>
      <c r="B79" s="1776" t="s">
        <v>16</v>
      </c>
      <c r="C79" s="1776" t="s">
        <v>2524</v>
      </c>
      <c r="D79" s="1776" t="s">
        <v>2525</v>
      </c>
      <c r="E79" s="1776" t="s">
        <v>2526</v>
      </c>
      <c r="F79" s="1776" t="s">
        <v>2527</v>
      </c>
      <c r="G79" s="1776" t="s">
        <v>22</v>
      </c>
      <c r="H79" s="1776" t="s">
        <v>22</v>
      </c>
      <c r="I79" s="1776" t="s">
        <v>806</v>
      </c>
    </row>
    <row r="80" spans="1:9" ht="11.25" customHeight="1">
      <c r="A80" s="1776" t="s">
        <v>2244</v>
      </c>
      <c r="B80" s="1776" t="s">
        <v>16</v>
      </c>
      <c r="C80" s="1776" t="s">
        <v>2528</v>
      </c>
      <c r="D80" s="1776" t="s">
        <v>2529</v>
      </c>
      <c r="E80" s="1776" t="s">
        <v>2530</v>
      </c>
      <c r="F80" s="1776" t="s">
        <v>2309</v>
      </c>
      <c r="G80" s="1776" t="s">
        <v>22</v>
      </c>
      <c r="H80" s="1776" t="s">
        <v>22</v>
      </c>
      <c r="I80" s="1776" t="s">
        <v>806</v>
      </c>
    </row>
    <row r="81" spans="1:9" ht="11.25" customHeight="1">
      <c r="A81" s="1776" t="s">
        <v>2244</v>
      </c>
      <c r="B81" s="1776" t="s">
        <v>16</v>
      </c>
      <c r="C81" s="1776" t="s">
        <v>2531</v>
      </c>
      <c r="D81" s="1776" t="s">
        <v>2532</v>
      </c>
      <c r="E81" s="1776" t="s">
        <v>2533</v>
      </c>
      <c r="F81" s="1776" t="s">
        <v>2534</v>
      </c>
      <c r="G81" s="1776" t="s">
        <v>22</v>
      </c>
      <c r="H81" s="1776" t="s">
        <v>22</v>
      </c>
      <c r="I81" s="1776" t="s">
        <v>806</v>
      </c>
    </row>
    <row r="82" spans="1:9" ht="11.25" customHeight="1">
      <c r="A82" s="1776" t="s">
        <v>2244</v>
      </c>
      <c r="B82" s="1776" t="s">
        <v>16</v>
      </c>
      <c r="C82" s="1776" t="s">
        <v>2535</v>
      </c>
      <c r="D82" s="1776" t="s">
        <v>2536</v>
      </c>
      <c r="E82" s="1776" t="s">
        <v>2537</v>
      </c>
      <c r="F82" s="1776" t="s">
        <v>2287</v>
      </c>
      <c r="G82" s="1776" t="s">
        <v>22</v>
      </c>
      <c r="H82" s="1776" t="s">
        <v>22</v>
      </c>
      <c r="I82" s="1776" t="s">
        <v>806</v>
      </c>
    </row>
    <row r="83" spans="1:9" ht="11.25" customHeight="1">
      <c r="A83" s="1776" t="s">
        <v>2244</v>
      </c>
      <c r="B83" s="1776" t="s">
        <v>16</v>
      </c>
      <c r="C83" s="1776" t="s">
        <v>2538</v>
      </c>
      <c r="D83" s="1776" t="s">
        <v>2539</v>
      </c>
      <c r="E83" s="1776" t="s">
        <v>2540</v>
      </c>
      <c r="F83" s="1776" t="s">
        <v>2276</v>
      </c>
      <c r="G83" s="1776" t="s">
        <v>22</v>
      </c>
      <c r="H83" s="1776" t="s">
        <v>22</v>
      </c>
      <c r="I83" s="1776" t="s">
        <v>806</v>
      </c>
    </row>
    <row r="84" spans="1:9" ht="11.25" customHeight="1">
      <c r="A84" s="1776" t="s">
        <v>2244</v>
      </c>
      <c r="B84" s="1776" t="s">
        <v>16</v>
      </c>
      <c r="C84" s="1776" t="s">
        <v>2541</v>
      </c>
      <c r="D84" s="1776" t="s">
        <v>2542</v>
      </c>
      <c r="E84" s="1776" t="s">
        <v>2543</v>
      </c>
      <c r="F84" s="1776" t="s">
        <v>2302</v>
      </c>
      <c r="G84" s="1776" t="s">
        <v>22</v>
      </c>
      <c r="H84" s="1776" t="s">
        <v>22</v>
      </c>
      <c r="I84" s="1776" t="s">
        <v>806</v>
      </c>
    </row>
    <row r="85" spans="1:9" ht="11.25" customHeight="1">
      <c r="A85" s="1776" t="s">
        <v>2244</v>
      </c>
      <c r="B85" s="1776" t="s">
        <v>16</v>
      </c>
      <c r="C85" s="1776" t="s">
        <v>2544</v>
      </c>
      <c r="D85" s="1776" t="s">
        <v>2545</v>
      </c>
      <c r="E85" s="1776" t="s">
        <v>2546</v>
      </c>
      <c r="F85" s="1776" t="s">
        <v>2313</v>
      </c>
      <c r="G85" s="1776" t="s">
        <v>22</v>
      </c>
      <c r="H85" s="1776" t="s">
        <v>22</v>
      </c>
      <c r="I85" s="1776" t="s">
        <v>806</v>
      </c>
    </row>
    <row r="86" spans="1:9" ht="11.25" customHeight="1">
      <c r="A86" s="1776" t="s">
        <v>2244</v>
      </c>
      <c r="B86" s="1776" t="s">
        <v>16</v>
      </c>
      <c r="C86" s="1776" t="s">
        <v>2547</v>
      </c>
      <c r="D86" s="1776" t="s">
        <v>2548</v>
      </c>
      <c r="E86" s="1776" t="s">
        <v>2549</v>
      </c>
      <c r="F86" s="1776" t="s">
        <v>2550</v>
      </c>
      <c r="G86" s="1776" t="s">
        <v>22</v>
      </c>
      <c r="H86" s="1776" t="s">
        <v>22</v>
      </c>
      <c r="I86" s="1776" t="s">
        <v>806</v>
      </c>
    </row>
    <row r="87" spans="1:9" ht="11.25" customHeight="1">
      <c r="A87" s="1776" t="s">
        <v>2244</v>
      </c>
      <c r="B87" s="1776" t="s">
        <v>16</v>
      </c>
      <c r="C87" s="1776" t="s">
        <v>2551</v>
      </c>
      <c r="D87" s="1776" t="s">
        <v>2552</v>
      </c>
      <c r="E87" s="1776" t="s">
        <v>2553</v>
      </c>
      <c r="F87" s="1776" t="s">
        <v>2382</v>
      </c>
      <c r="G87" s="1776" t="s">
        <v>22</v>
      </c>
      <c r="H87" s="1776" t="s">
        <v>22</v>
      </c>
      <c r="I87" s="1776" t="s">
        <v>806</v>
      </c>
    </row>
    <row r="88" spans="1:9" ht="11.25" customHeight="1">
      <c r="A88" s="1776" t="s">
        <v>2244</v>
      </c>
      <c r="B88" s="1776" t="s">
        <v>16</v>
      </c>
      <c r="C88" s="1776" t="s">
        <v>2554</v>
      </c>
      <c r="D88" s="1776" t="s">
        <v>2555</v>
      </c>
      <c r="E88" s="1776" t="s">
        <v>2556</v>
      </c>
      <c r="F88" s="1776" t="s">
        <v>2252</v>
      </c>
      <c r="G88" s="1776" t="s">
        <v>22</v>
      </c>
      <c r="H88" s="1776" t="s">
        <v>22</v>
      </c>
      <c r="I88" s="1776" t="s">
        <v>806</v>
      </c>
    </row>
    <row r="89" spans="1:9" ht="11.25" customHeight="1">
      <c r="A89" s="1776" t="s">
        <v>2244</v>
      </c>
      <c r="B89" s="1776" t="s">
        <v>16</v>
      </c>
      <c r="C89" s="1776" t="s">
        <v>2557</v>
      </c>
      <c r="D89" s="1776" t="s">
        <v>2558</v>
      </c>
      <c r="E89" s="1776" t="s">
        <v>2559</v>
      </c>
      <c r="F89" s="1776" t="s">
        <v>2560</v>
      </c>
      <c r="G89" s="1776" t="s">
        <v>22</v>
      </c>
      <c r="H89" s="1776" t="s">
        <v>22</v>
      </c>
      <c r="I89" s="1776" t="s">
        <v>806</v>
      </c>
    </row>
    <row r="90" spans="1:9" ht="11.25" customHeight="1">
      <c r="A90" s="1776" t="s">
        <v>2244</v>
      </c>
      <c r="B90" s="1776" t="s">
        <v>16</v>
      </c>
      <c r="C90" s="1776" t="s">
        <v>2561</v>
      </c>
      <c r="D90" s="1776" t="s">
        <v>2562</v>
      </c>
      <c r="E90" s="1776" t="s">
        <v>2563</v>
      </c>
      <c r="F90" s="1776" t="s">
        <v>2564</v>
      </c>
      <c r="G90" s="1776" t="s">
        <v>22</v>
      </c>
      <c r="H90" s="1776" t="s">
        <v>22</v>
      </c>
      <c r="I90" s="1776" t="s">
        <v>806</v>
      </c>
    </row>
    <row r="91" spans="1:9" ht="11.25" customHeight="1">
      <c r="A91" s="1776" t="s">
        <v>2244</v>
      </c>
      <c r="B91" s="1776" t="s">
        <v>16</v>
      </c>
      <c r="C91" s="1776" t="s">
        <v>2565</v>
      </c>
      <c r="D91" s="1776" t="s">
        <v>2566</v>
      </c>
      <c r="E91" s="1776" t="s">
        <v>2567</v>
      </c>
      <c r="F91" s="1776" t="s">
        <v>2491</v>
      </c>
      <c r="G91" s="1776" t="s">
        <v>22</v>
      </c>
      <c r="H91" s="1776" t="s">
        <v>22</v>
      </c>
      <c r="I91" s="1776" t="s">
        <v>806</v>
      </c>
    </row>
    <row r="92" spans="1:9" ht="11.25" customHeight="1">
      <c r="A92" s="1776" t="s">
        <v>2244</v>
      </c>
      <c r="B92" s="1776" t="s">
        <v>16</v>
      </c>
      <c r="C92" s="1776" t="s">
        <v>2568</v>
      </c>
      <c r="D92" s="1776" t="s">
        <v>2569</v>
      </c>
      <c r="E92" s="1776" t="s">
        <v>2570</v>
      </c>
      <c r="F92" s="1776" t="s">
        <v>2491</v>
      </c>
      <c r="G92" s="1776" t="s">
        <v>22</v>
      </c>
      <c r="H92" s="1776" t="s">
        <v>22</v>
      </c>
      <c r="I92" s="1776" t="s">
        <v>806</v>
      </c>
    </row>
    <row r="93" spans="1:9" ht="11.25" customHeight="1">
      <c r="A93" s="1776" t="s">
        <v>2244</v>
      </c>
      <c r="B93" s="1776" t="s">
        <v>16</v>
      </c>
      <c r="C93" s="1776" t="s">
        <v>2571</v>
      </c>
      <c r="D93" s="1776" t="s">
        <v>2572</v>
      </c>
      <c r="E93" s="1776" t="s">
        <v>2573</v>
      </c>
      <c r="F93" s="1776" t="s">
        <v>2252</v>
      </c>
      <c r="G93" s="1776" t="s">
        <v>22</v>
      </c>
      <c r="H93" s="1776" t="s">
        <v>22</v>
      </c>
      <c r="I93" s="1776" t="s">
        <v>806</v>
      </c>
    </row>
    <row r="94" spans="1:9" ht="11.25" customHeight="1">
      <c r="A94" s="1776" t="s">
        <v>2244</v>
      </c>
      <c r="B94" s="1776" t="s">
        <v>16</v>
      </c>
      <c r="C94" s="1776" t="s">
        <v>2574</v>
      </c>
      <c r="D94" s="1776" t="s">
        <v>2575</v>
      </c>
      <c r="E94" s="1776" t="s">
        <v>2576</v>
      </c>
      <c r="F94" s="1776" t="s">
        <v>2534</v>
      </c>
      <c r="G94" s="1776" t="s">
        <v>22</v>
      </c>
      <c r="H94" s="1776" t="s">
        <v>22</v>
      </c>
      <c r="I94" s="1776" t="s">
        <v>806</v>
      </c>
    </row>
    <row r="95" spans="1:9" ht="11.25" customHeight="1">
      <c r="A95" s="1776" t="s">
        <v>2244</v>
      </c>
      <c r="B95" s="1776" t="s">
        <v>16</v>
      </c>
      <c r="C95" s="1776" t="s">
        <v>2577</v>
      </c>
      <c r="D95" s="1776" t="s">
        <v>2578</v>
      </c>
      <c r="E95" s="1776" t="s">
        <v>2579</v>
      </c>
      <c r="F95" s="1776" t="s">
        <v>2382</v>
      </c>
      <c r="G95" s="1776" t="s">
        <v>22</v>
      </c>
      <c r="H95" s="1776" t="s">
        <v>22</v>
      </c>
      <c r="I95" s="1776" t="s">
        <v>806</v>
      </c>
    </row>
    <row r="96" spans="1:9" ht="11.25" customHeight="1">
      <c r="A96" s="1776" t="s">
        <v>2244</v>
      </c>
      <c r="B96" s="1776" t="s">
        <v>16</v>
      </c>
      <c r="C96" s="1776" t="s">
        <v>2580</v>
      </c>
      <c r="D96" s="1776" t="s">
        <v>2581</v>
      </c>
      <c r="E96" s="1776" t="s">
        <v>2582</v>
      </c>
      <c r="F96" s="1776" t="s">
        <v>2382</v>
      </c>
      <c r="G96" s="1776" t="s">
        <v>22</v>
      </c>
      <c r="H96" s="1776" t="s">
        <v>22</v>
      </c>
      <c r="I96" s="1776" t="s">
        <v>806</v>
      </c>
    </row>
    <row r="97" spans="1:9" ht="11.25" customHeight="1">
      <c r="A97" s="1776" t="s">
        <v>2244</v>
      </c>
      <c r="B97" s="1776" t="s">
        <v>16</v>
      </c>
      <c r="C97" s="1776" t="s">
        <v>2583</v>
      </c>
      <c r="D97" s="1776" t="s">
        <v>2584</v>
      </c>
      <c r="E97" s="1776" t="s">
        <v>2585</v>
      </c>
      <c r="F97" s="1776" t="s">
        <v>2344</v>
      </c>
      <c r="G97" s="1776" t="s">
        <v>22</v>
      </c>
      <c r="H97" s="1776" t="s">
        <v>22</v>
      </c>
      <c r="I97" s="1776" t="s">
        <v>806</v>
      </c>
    </row>
    <row r="98" spans="1:9" ht="11.25" customHeight="1">
      <c r="A98" s="1776" t="s">
        <v>2244</v>
      </c>
      <c r="B98" s="1776" t="s">
        <v>16</v>
      </c>
      <c r="C98" s="1776" t="s">
        <v>2586</v>
      </c>
      <c r="D98" s="1776" t="s">
        <v>2587</v>
      </c>
      <c r="E98" s="1776" t="s">
        <v>2588</v>
      </c>
      <c r="F98" s="1776" t="s">
        <v>2473</v>
      </c>
      <c r="G98" s="1776" t="s">
        <v>22</v>
      </c>
      <c r="H98" s="1776" t="s">
        <v>22</v>
      </c>
      <c r="I98" s="1776" t="s">
        <v>806</v>
      </c>
    </row>
    <row r="99" spans="1:9" ht="11.25" customHeight="1">
      <c r="A99" s="1776" t="s">
        <v>2244</v>
      </c>
      <c r="B99" s="1776" t="s">
        <v>16</v>
      </c>
      <c r="C99" s="1776" t="s">
        <v>2589</v>
      </c>
      <c r="D99" s="1776" t="s">
        <v>2590</v>
      </c>
      <c r="E99" s="1776" t="s">
        <v>2591</v>
      </c>
      <c r="F99" s="1776" t="s">
        <v>2550</v>
      </c>
      <c r="G99" s="1776" t="s">
        <v>22</v>
      </c>
      <c r="H99" s="1776" t="s">
        <v>22</v>
      </c>
      <c r="I99" s="1776" t="s">
        <v>806</v>
      </c>
    </row>
    <row r="100" spans="1:9" ht="11.25" customHeight="1">
      <c r="A100" s="1776" t="s">
        <v>2244</v>
      </c>
      <c r="B100" s="1776" t="s">
        <v>16</v>
      </c>
      <c r="C100" s="1776" t="s">
        <v>2592</v>
      </c>
      <c r="D100" s="1776" t="s">
        <v>2593</v>
      </c>
      <c r="E100" s="1776" t="s">
        <v>2594</v>
      </c>
      <c r="F100" s="1776" t="s">
        <v>2534</v>
      </c>
      <c r="G100" s="1776" t="s">
        <v>22</v>
      </c>
      <c r="H100" s="1776" t="s">
        <v>22</v>
      </c>
      <c r="I100" s="1776" t="s">
        <v>806</v>
      </c>
    </row>
    <row r="101" spans="1:9" ht="11.25" customHeight="1">
      <c r="A101" s="1776" t="s">
        <v>2244</v>
      </c>
      <c r="B101" s="1776" t="s">
        <v>16</v>
      </c>
      <c r="C101" s="1776" t="s">
        <v>2595</v>
      </c>
      <c r="D101" s="1776" t="s">
        <v>2596</v>
      </c>
      <c r="E101" s="1776" t="s">
        <v>2597</v>
      </c>
      <c r="F101" s="1776" t="s">
        <v>573</v>
      </c>
      <c r="G101" s="1776" t="s">
        <v>22</v>
      </c>
      <c r="H101" s="1776" t="s">
        <v>22</v>
      </c>
      <c r="I101" s="1776" t="s">
        <v>806</v>
      </c>
    </row>
    <row r="102" spans="1:9" ht="11.25" customHeight="1">
      <c r="A102" s="1776" t="s">
        <v>2244</v>
      </c>
      <c r="B102" s="1776" t="s">
        <v>16</v>
      </c>
      <c r="C102" s="1776" t="s">
        <v>2598</v>
      </c>
      <c r="D102" s="1776" t="s">
        <v>2599</v>
      </c>
      <c r="E102" s="1776" t="s">
        <v>2600</v>
      </c>
      <c r="F102" s="1776" t="s">
        <v>573</v>
      </c>
      <c r="G102" s="1776" t="s">
        <v>22</v>
      </c>
      <c r="H102" s="1776" t="s">
        <v>22</v>
      </c>
      <c r="I102" s="1776" t="s">
        <v>806</v>
      </c>
    </row>
    <row r="103" spans="1:9" ht="11.25" customHeight="1">
      <c r="A103" s="1776" t="s">
        <v>2244</v>
      </c>
      <c r="B103" s="1776" t="s">
        <v>16</v>
      </c>
      <c r="C103" s="1776" t="s">
        <v>2601</v>
      </c>
      <c r="D103" s="1776" t="s">
        <v>2602</v>
      </c>
      <c r="E103" s="1776" t="s">
        <v>2603</v>
      </c>
      <c r="F103" s="1776" t="s">
        <v>573</v>
      </c>
      <c r="G103" s="1776" t="s">
        <v>22</v>
      </c>
      <c r="H103" s="1776" t="s">
        <v>22</v>
      </c>
      <c r="I103" s="1776" t="s">
        <v>806</v>
      </c>
    </row>
    <row r="104" spans="1:9" ht="11.25" customHeight="1">
      <c r="A104" s="1776" t="s">
        <v>2244</v>
      </c>
      <c r="B104" s="1776" t="s">
        <v>16</v>
      </c>
      <c r="C104" s="1776" t="s">
        <v>2604</v>
      </c>
      <c r="D104" s="1776" t="s">
        <v>2605</v>
      </c>
      <c r="E104" s="1776" t="s">
        <v>2606</v>
      </c>
      <c r="F104" s="1776" t="s">
        <v>573</v>
      </c>
      <c r="G104" s="1776" t="s">
        <v>22</v>
      </c>
      <c r="H104" s="1776" t="s">
        <v>22</v>
      </c>
      <c r="I104" s="1776" t="s">
        <v>806</v>
      </c>
    </row>
    <row r="105" spans="1:9" ht="11.25" customHeight="1">
      <c r="A105" s="1776" t="s">
        <v>2244</v>
      </c>
      <c r="B105" s="1776" t="s">
        <v>16</v>
      </c>
      <c r="C105" s="1776" t="s">
        <v>2607</v>
      </c>
      <c r="D105" s="1776" t="s">
        <v>2608</v>
      </c>
      <c r="E105" s="1776" t="s">
        <v>2609</v>
      </c>
      <c r="F105" s="1776" t="s">
        <v>573</v>
      </c>
      <c r="G105" s="1776" t="s">
        <v>22</v>
      </c>
      <c r="H105" s="1776" t="s">
        <v>22</v>
      </c>
      <c r="I105" s="1776" t="s">
        <v>806</v>
      </c>
    </row>
    <row r="106" spans="1:9" ht="11.25" customHeight="1">
      <c r="A106" s="1776" t="s">
        <v>2244</v>
      </c>
      <c r="B106" s="1776" t="s">
        <v>16</v>
      </c>
      <c r="C106" s="1776" t="s">
        <v>2610</v>
      </c>
      <c r="D106" s="1776" t="s">
        <v>2611</v>
      </c>
      <c r="E106" s="1776" t="s">
        <v>2612</v>
      </c>
      <c r="F106" s="1776" t="s">
        <v>2613</v>
      </c>
      <c r="G106" s="1776" t="s">
        <v>22</v>
      </c>
      <c r="H106" s="1776" t="s">
        <v>22</v>
      </c>
      <c r="I106" s="1776" t="s">
        <v>806</v>
      </c>
    </row>
    <row r="107" spans="1:9" ht="11.25" customHeight="1">
      <c r="A107" s="1776" t="s">
        <v>2244</v>
      </c>
      <c r="B107" s="1776" t="s">
        <v>16</v>
      </c>
      <c r="C107" s="1776" t="s">
        <v>2614</v>
      </c>
      <c r="D107" s="1776" t="s">
        <v>2615</v>
      </c>
      <c r="E107" s="1776" t="s">
        <v>2495</v>
      </c>
      <c r="F107" s="1776" t="s">
        <v>2616</v>
      </c>
      <c r="G107" s="1776" t="s">
        <v>22</v>
      </c>
      <c r="H107" s="1776" t="s">
        <v>22</v>
      </c>
      <c r="I107" s="1776" t="s">
        <v>806</v>
      </c>
    </row>
    <row r="108" spans="1:9" ht="11.25" customHeight="1">
      <c r="A108" s="1776" t="s">
        <v>2244</v>
      </c>
      <c r="B108" s="1776" t="s">
        <v>16</v>
      </c>
      <c r="C108" s="1776" t="s">
        <v>2617</v>
      </c>
      <c r="D108" s="1776" t="s">
        <v>2618</v>
      </c>
      <c r="E108" s="1776" t="s">
        <v>2619</v>
      </c>
      <c r="F108" s="1776" t="s">
        <v>2446</v>
      </c>
      <c r="G108" s="1776" t="s">
        <v>22</v>
      </c>
      <c r="H108" s="1776" t="s">
        <v>22</v>
      </c>
      <c r="I108" s="1776" t="s">
        <v>806</v>
      </c>
    </row>
    <row r="109" spans="1:9" ht="11.25" customHeight="1">
      <c r="A109" s="1776" t="s">
        <v>2244</v>
      </c>
      <c r="B109" s="1776" t="s">
        <v>16</v>
      </c>
      <c r="C109" s="1776" t="s">
        <v>2620</v>
      </c>
      <c r="D109" s="1776" t="s">
        <v>2621</v>
      </c>
      <c r="E109" s="1776" t="s">
        <v>2622</v>
      </c>
      <c r="F109" s="1776" t="s">
        <v>2623</v>
      </c>
      <c r="G109" s="1776" t="s">
        <v>22</v>
      </c>
      <c r="H109" s="1776" t="s">
        <v>22</v>
      </c>
      <c r="I109" s="1776" t="s">
        <v>806</v>
      </c>
    </row>
    <row r="110" spans="1:9" ht="11.25" customHeight="1">
      <c r="A110" s="1776" t="s">
        <v>2244</v>
      </c>
      <c r="B110" s="1776" t="s">
        <v>16</v>
      </c>
      <c r="C110" s="1776" t="s">
        <v>2624</v>
      </c>
      <c r="D110" s="1776" t="s">
        <v>2625</v>
      </c>
      <c r="E110" s="1776" t="s">
        <v>2626</v>
      </c>
      <c r="F110" s="1776" t="s">
        <v>2627</v>
      </c>
      <c r="G110" s="1776" t="s">
        <v>22</v>
      </c>
      <c r="H110" s="1776" t="s">
        <v>22</v>
      </c>
      <c r="I110" s="1776" t="s">
        <v>806</v>
      </c>
    </row>
    <row r="111" spans="1:9" ht="11.25" customHeight="1">
      <c r="A111" s="1776" t="s">
        <v>2244</v>
      </c>
      <c r="B111" s="1776" t="s">
        <v>16</v>
      </c>
      <c r="C111" s="1776" t="s">
        <v>2628</v>
      </c>
      <c r="D111" s="1776" t="s">
        <v>2629</v>
      </c>
      <c r="E111" s="1776" t="s">
        <v>2630</v>
      </c>
      <c r="F111" s="1776" t="s">
        <v>2631</v>
      </c>
      <c r="G111" s="1776" t="s">
        <v>2632</v>
      </c>
      <c r="H111" s="1776" t="s">
        <v>22</v>
      </c>
      <c r="I111" s="1776" t="s">
        <v>806</v>
      </c>
    </row>
    <row r="112" spans="1:9" ht="11.25" customHeight="1">
      <c r="A112" s="1776" t="s">
        <v>2244</v>
      </c>
      <c r="B112" s="1776" t="s">
        <v>16</v>
      </c>
      <c r="C112" s="1776" t="s">
        <v>2633</v>
      </c>
      <c r="D112" s="1776" t="s">
        <v>2634</v>
      </c>
      <c r="E112" s="1776" t="s">
        <v>2635</v>
      </c>
      <c r="F112" s="1776" t="s">
        <v>2627</v>
      </c>
      <c r="G112" s="1776" t="s">
        <v>22</v>
      </c>
      <c r="H112" s="1776" t="s">
        <v>22</v>
      </c>
      <c r="I112" s="1776" t="s">
        <v>806</v>
      </c>
    </row>
    <row r="113" spans="1:9" ht="11.25" customHeight="1">
      <c r="A113" s="1776" t="s">
        <v>2244</v>
      </c>
      <c r="B113" s="1776" t="s">
        <v>16</v>
      </c>
      <c r="C113" s="1776" t="s">
        <v>2636</v>
      </c>
      <c r="D113" s="1776" t="s">
        <v>2637</v>
      </c>
      <c r="E113" s="1776" t="s">
        <v>2638</v>
      </c>
      <c r="F113" s="1776" t="s">
        <v>2639</v>
      </c>
      <c r="G113" s="1776" t="s">
        <v>22</v>
      </c>
      <c r="H113" s="1776" t="s">
        <v>22</v>
      </c>
      <c r="I113" s="1776" t="s">
        <v>806</v>
      </c>
    </row>
    <row r="114" spans="1:9" ht="11.25" customHeight="1">
      <c r="A114" s="1776" t="s">
        <v>2244</v>
      </c>
      <c r="B114" s="1776" t="s">
        <v>16</v>
      </c>
      <c r="C114" s="1776" t="s">
        <v>2640</v>
      </c>
      <c r="D114" s="1776" t="s">
        <v>2641</v>
      </c>
      <c r="E114" s="1776" t="s">
        <v>2642</v>
      </c>
      <c r="F114" s="1776" t="s">
        <v>2623</v>
      </c>
      <c r="G114" s="1776" t="s">
        <v>22</v>
      </c>
      <c r="H114" s="1776" t="s">
        <v>22</v>
      </c>
      <c r="I114" s="1776" t="s">
        <v>806</v>
      </c>
    </row>
    <row r="115" spans="1:9" ht="11.25" customHeight="1">
      <c r="A115" s="1776" t="s">
        <v>2244</v>
      </c>
      <c r="B115" s="1776" t="s">
        <v>16</v>
      </c>
      <c r="C115" s="1776" t="s">
        <v>2643</v>
      </c>
      <c r="D115" s="1776" t="s">
        <v>2644</v>
      </c>
      <c r="E115" s="1776" t="s">
        <v>2645</v>
      </c>
      <c r="F115" s="1776" t="s">
        <v>2646</v>
      </c>
      <c r="G115" s="1776" t="s">
        <v>22</v>
      </c>
      <c r="H115" s="1776" t="s">
        <v>22</v>
      </c>
      <c r="I115" s="1776" t="s">
        <v>806</v>
      </c>
    </row>
    <row r="116" spans="1:9" ht="11.25" customHeight="1">
      <c r="A116" s="1776" t="s">
        <v>2244</v>
      </c>
      <c r="B116" s="1776" t="s">
        <v>16</v>
      </c>
      <c r="C116" s="1776" t="s">
        <v>2647</v>
      </c>
      <c r="D116" s="1776" t="s">
        <v>2648</v>
      </c>
      <c r="E116" s="1776" t="s">
        <v>2649</v>
      </c>
      <c r="F116" s="1776" t="s">
        <v>2446</v>
      </c>
      <c r="G116" s="1776" t="s">
        <v>22</v>
      </c>
      <c r="H116" s="1776" t="s">
        <v>22</v>
      </c>
      <c r="I116" s="1776" t="s">
        <v>806</v>
      </c>
    </row>
    <row r="117" spans="1:9" ht="11.25" customHeight="1">
      <c r="A117" s="1776" t="s">
        <v>2244</v>
      </c>
      <c r="B117" s="1776" t="s">
        <v>16</v>
      </c>
      <c r="C117" s="1776" t="s">
        <v>2650</v>
      </c>
      <c r="D117" s="1776" t="s">
        <v>2651</v>
      </c>
      <c r="E117" s="1776" t="s">
        <v>2652</v>
      </c>
      <c r="F117" s="1776" t="s">
        <v>2372</v>
      </c>
      <c r="G117" s="1776" t="s">
        <v>22</v>
      </c>
      <c r="H117" s="1776" t="s">
        <v>22</v>
      </c>
      <c r="I117" s="1776" t="s">
        <v>806</v>
      </c>
    </row>
    <row r="118" spans="1:9" ht="11.25" customHeight="1">
      <c r="A118" s="1776" t="s">
        <v>2244</v>
      </c>
      <c r="B118" s="1776" t="s">
        <v>16</v>
      </c>
      <c r="C118" s="1776" t="s">
        <v>2653</v>
      </c>
      <c r="D118" s="1776" t="s">
        <v>2654</v>
      </c>
      <c r="E118" s="1776" t="s">
        <v>2655</v>
      </c>
      <c r="F118" s="1776" t="s">
        <v>2446</v>
      </c>
      <c r="G118" s="1776" t="s">
        <v>22</v>
      </c>
      <c r="H118" s="1776" t="s">
        <v>22</v>
      </c>
      <c r="I118" s="1776" t="s">
        <v>806</v>
      </c>
    </row>
    <row r="119" spans="1:9" ht="11.25" customHeight="1">
      <c r="A119" s="1776" t="s">
        <v>2244</v>
      </c>
      <c r="B119" s="1776" t="s">
        <v>16</v>
      </c>
      <c r="C119" s="1776" t="s">
        <v>2656</v>
      </c>
      <c r="D119" s="1776" t="s">
        <v>2657</v>
      </c>
      <c r="E119" s="1776" t="s">
        <v>2658</v>
      </c>
      <c r="F119" s="1776" t="s">
        <v>2659</v>
      </c>
      <c r="G119" s="1776" t="s">
        <v>22</v>
      </c>
      <c r="H119" s="1776" t="s">
        <v>22</v>
      </c>
      <c r="I119" s="1776" t="s">
        <v>806</v>
      </c>
    </row>
    <row r="120" spans="1:9" ht="11.25" customHeight="1">
      <c r="A120" s="1776" t="s">
        <v>2244</v>
      </c>
      <c r="B120" s="1776" t="s">
        <v>16</v>
      </c>
      <c r="C120" s="1776" t="s">
        <v>2660</v>
      </c>
      <c r="D120" s="1776" t="s">
        <v>2661</v>
      </c>
      <c r="E120" s="1776" t="s">
        <v>2662</v>
      </c>
      <c r="F120" s="1776" t="s">
        <v>2276</v>
      </c>
      <c r="G120" s="1776" t="s">
        <v>22</v>
      </c>
      <c r="H120" s="1776" t="s">
        <v>22</v>
      </c>
      <c r="I120" s="1776" t="s">
        <v>806</v>
      </c>
    </row>
    <row r="121" spans="1:9" ht="11.25" customHeight="1">
      <c r="A121" s="1776" t="s">
        <v>2244</v>
      </c>
      <c r="B121" s="1776" t="s">
        <v>16</v>
      </c>
      <c r="C121" s="1776" t="s">
        <v>2663</v>
      </c>
      <c r="D121" s="1776" t="s">
        <v>2664</v>
      </c>
      <c r="E121" s="1776" t="s">
        <v>2665</v>
      </c>
      <c r="F121" s="1776" t="s">
        <v>2457</v>
      </c>
      <c r="G121" s="1776" t="s">
        <v>22</v>
      </c>
      <c r="H121" s="1776" t="s">
        <v>22</v>
      </c>
      <c r="I121" s="1776" t="s">
        <v>806</v>
      </c>
    </row>
    <row r="122" spans="1:9" ht="11.25" customHeight="1">
      <c r="A122" s="1776" t="s">
        <v>2244</v>
      </c>
      <c r="B122" s="1776" t="s">
        <v>16</v>
      </c>
      <c r="C122" s="1776" t="s">
        <v>2666</v>
      </c>
      <c r="D122" s="1776" t="s">
        <v>2667</v>
      </c>
      <c r="E122" s="1776" t="s">
        <v>2668</v>
      </c>
      <c r="F122" s="1776" t="s">
        <v>2659</v>
      </c>
      <c r="G122" s="1776" t="s">
        <v>22</v>
      </c>
      <c r="H122" s="1776" t="s">
        <v>22</v>
      </c>
      <c r="I122" s="1776" t="s">
        <v>806</v>
      </c>
    </row>
    <row r="123" spans="1:9" ht="11.25" customHeight="1">
      <c r="A123" s="1776" t="s">
        <v>2244</v>
      </c>
      <c r="B123" s="1776" t="s">
        <v>16</v>
      </c>
      <c r="C123" s="1776" t="s">
        <v>2669</v>
      </c>
      <c r="D123" s="1776" t="s">
        <v>2670</v>
      </c>
      <c r="E123" s="1776" t="s">
        <v>2671</v>
      </c>
      <c r="F123" s="1776" t="s">
        <v>2672</v>
      </c>
      <c r="G123" s="1776" t="s">
        <v>22</v>
      </c>
      <c r="H123" s="1776" t="s">
        <v>22</v>
      </c>
      <c r="I123" s="1776" t="s">
        <v>806</v>
      </c>
    </row>
    <row r="124" spans="1:9" ht="11.25" customHeight="1">
      <c r="A124" s="1776" t="s">
        <v>2244</v>
      </c>
      <c r="B124" s="1776" t="s">
        <v>16</v>
      </c>
      <c r="C124" s="1776" t="s">
        <v>2673</v>
      </c>
      <c r="D124" s="1776" t="s">
        <v>2674</v>
      </c>
      <c r="E124" s="1776" t="s">
        <v>2675</v>
      </c>
      <c r="F124" s="1776" t="s">
        <v>2309</v>
      </c>
      <c r="G124" s="1776" t="s">
        <v>22</v>
      </c>
      <c r="H124" s="1776" t="s">
        <v>22</v>
      </c>
      <c r="I124" s="1776" t="s">
        <v>806</v>
      </c>
    </row>
    <row r="125" spans="1:9" ht="11.25" customHeight="1">
      <c r="A125" s="1776" t="s">
        <v>2244</v>
      </c>
      <c r="B125" s="1776" t="s">
        <v>16</v>
      </c>
      <c r="C125" s="1776" t="s">
        <v>2676</v>
      </c>
      <c r="D125" s="1776" t="s">
        <v>2677</v>
      </c>
      <c r="E125" s="1776" t="s">
        <v>2678</v>
      </c>
      <c r="F125" s="1776" t="s">
        <v>2679</v>
      </c>
      <c r="G125" s="1776" t="s">
        <v>2680</v>
      </c>
      <c r="H125" s="1776" t="s">
        <v>22</v>
      </c>
      <c r="I125" s="1776" t="s">
        <v>806</v>
      </c>
    </row>
    <row r="126" spans="1:9" ht="11.25" customHeight="1">
      <c r="A126" s="1776" t="s">
        <v>2244</v>
      </c>
      <c r="B126" s="1776" t="s">
        <v>16</v>
      </c>
      <c r="C126" s="1776" t="s">
        <v>2681</v>
      </c>
      <c r="D126" s="1776" t="s">
        <v>2682</v>
      </c>
      <c r="E126" s="1776" t="s">
        <v>2683</v>
      </c>
      <c r="F126" s="1776" t="s">
        <v>2248</v>
      </c>
      <c r="G126" s="1776" t="s">
        <v>22</v>
      </c>
      <c r="H126" s="1776" t="s">
        <v>22</v>
      </c>
      <c r="I126" s="1776" t="s">
        <v>806</v>
      </c>
    </row>
    <row r="127" spans="1:9" ht="11.25" customHeight="1">
      <c r="A127" s="1776" t="s">
        <v>2244</v>
      </c>
      <c r="B127" s="1776" t="s">
        <v>16</v>
      </c>
      <c r="C127" s="1776" t="s">
        <v>2684</v>
      </c>
      <c r="D127" s="1776" t="s">
        <v>2685</v>
      </c>
      <c r="E127" s="1776" t="s">
        <v>2686</v>
      </c>
      <c r="F127" s="1776" t="s">
        <v>2344</v>
      </c>
      <c r="G127" s="1776" t="s">
        <v>22</v>
      </c>
      <c r="H127" s="1776" t="s">
        <v>22</v>
      </c>
      <c r="I127" s="1776" t="s">
        <v>806</v>
      </c>
    </row>
    <row r="128" spans="1:9" ht="11.25" customHeight="1">
      <c r="A128" s="1776" t="s">
        <v>2244</v>
      </c>
      <c r="B128" s="1776" t="s">
        <v>16</v>
      </c>
      <c r="C128" s="1776" t="s">
        <v>2687</v>
      </c>
      <c r="D128" s="1776" t="s">
        <v>2688</v>
      </c>
      <c r="E128" s="1776" t="s">
        <v>2689</v>
      </c>
      <c r="F128" s="1776" t="s">
        <v>2690</v>
      </c>
      <c r="G128" s="1776" t="s">
        <v>22</v>
      </c>
      <c r="H128" s="1776" t="s">
        <v>22</v>
      </c>
      <c r="I128" s="1776" t="s">
        <v>806</v>
      </c>
    </row>
    <row r="129" spans="1:9" ht="11.25" customHeight="1">
      <c r="A129" s="1776" t="s">
        <v>2244</v>
      </c>
      <c r="B129" s="1776" t="s">
        <v>16</v>
      </c>
      <c r="C129" s="1776" t="s">
        <v>2691</v>
      </c>
      <c r="D129" s="1776" t="s">
        <v>2692</v>
      </c>
      <c r="E129" s="1776" t="s">
        <v>2693</v>
      </c>
      <c r="F129" s="1776" t="s">
        <v>2294</v>
      </c>
      <c r="G129" s="1776" t="s">
        <v>22</v>
      </c>
      <c r="H129" s="1776" t="s">
        <v>22</v>
      </c>
      <c r="I129" s="1776" t="s">
        <v>806</v>
      </c>
    </row>
    <row r="130" spans="1:9" ht="11.25" customHeight="1">
      <c r="A130" s="1776" t="s">
        <v>2244</v>
      </c>
      <c r="B130" s="1776" t="s">
        <v>16</v>
      </c>
      <c r="C130" s="1776" t="s">
        <v>2694</v>
      </c>
      <c r="D130" s="1776" t="s">
        <v>2695</v>
      </c>
      <c r="E130" s="1776" t="s">
        <v>2696</v>
      </c>
      <c r="F130" s="1776" t="s">
        <v>2697</v>
      </c>
      <c r="G130" s="1776" t="s">
        <v>22</v>
      </c>
      <c r="H130" s="1776" t="s">
        <v>22</v>
      </c>
      <c r="I130" s="1776" t="s">
        <v>806</v>
      </c>
    </row>
    <row r="131" spans="1:9" ht="11.25" customHeight="1">
      <c r="A131" s="1776" t="s">
        <v>2244</v>
      </c>
      <c r="B131" s="1776" t="s">
        <v>16</v>
      </c>
      <c r="C131" s="1776" t="s">
        <v>2698</v>
      </c>
      <c r="D131" s="1776" t="s">
        <v>2699</v>
      </c>
      <c r="E131" s="1776" t="s">
        <v>2700</v>
      </c>
      <c r="F131" s="1776" t="s">
        <v>2701</v>
      </c>
      <c r="G131" s="1776" t="s">
        <v>22</v>
      </c>
      <c r="H131" s="1776" t="s">
        <v>22</v>
      </c>
      <c r="I131" s="1776" t="s">
        <v>806</v>
      </c>
    </row>
    <row r="132" spans="1:9" ht="11.25" customHeight="1">
      <c r="A132" s="1776" t="s">
        <v>2244</v>
      </c>
      <c r="B132" s="1776" t="s">
        <v>16</v>
      </c>
      <c r="C132" s="1776" t="s">
        <v>2702</v>
      </c>
      <c r="D132" s="1776" t="s">
        <v>2703</v>
      </c>
      <c r="E132" s="1776" t="s">
        <v>2704</v>
      </c>
      <c r="F132" s="1776" t="s">
        <v>2705</v>
      </c>
      <c r="G132" s="1776" t="s">
        <v>22</v>
      </c>
      <c r="H132" s="1776" t="s">
        <v>22</v>
      </c>
      <c r="I132" s="1776" t="s">
        <v>806</v>
      </c>
    </row>
    <row r="133" spans="1:9" ht="11.25" customHeight="1">
      <c r="A133" s="1776" t="s">
        <v>2244</v>
      </c>
      <c r="B133" s="1776" t="s">
        <v>16</v>
      </c>
      <c r="C133" s="1776" t="s">
        <v>2706</v>
      </c>
      <c r="D133" s="1776" t="s">
        <v>2707</v>
      </c>
      <c r="E133" s="1776" t="s">
        <v>2708</v>
      </c>
      <c r="F133" s="1776" t="s">
        <v>2519</v>
      </c>
      <c r="G133" s="1776" t="s">
        <v>22</v>
      </c>
      <c r="H133" s="1776" t="s">
        <v>22</v>
      </c>
      <c r="I133" s="1776" t="s">
        <v>806</v>
      </c>
    </row>
    <row r="134" spans="1:9" ht="11.25" customHeight="1">
      <c r="A134" s="1776" t="s">
        <v>2244</v>
      </c>
      <c r="B134" s="1776" t="s">
        <v>16</v>
      </c>
      <c r="C134" s="1776" t="s">
        <v>2709</v>
      </c>
      <c r="D134" s="1776" t="s">
        <v>2710</v>
      </c>
      <c r="E134" s="1776" t="s">
        <v>2711</v>
      </c>
      <c r="F134" s="1776" t="s">
        <v>2313</v>
      </c>
      <c r="G134" s="1776" t="s">
        <v>22</v>
      </c>
      <c r="H134" s="1776" t="s">
        <v>22</v>
      </c>
      <c r="I134" s="1776" t="s">
        <v>806</v>
      </c>
    </row>
    <row r="135" spans="1:9" ht="11.25" customHeight="1">
      <c r="A135" s="1776" t="s">
        <v>2244</v>
      </c>
      <c r="B135" s="1776" t="s">
        <v>16</v>
      </c>
      <c r="C135" s="1776" t="s">
        <v>2712</v>
      </c>
      <c r="D135" s="1776" t="s">
        <v>2713</v>
      </c>
      <c r="E135" s="1776" t="s">
        <v>2714</v>
      </c>
      <c r="F135" s="1776" t="s">
        <v>2523</v>
      </c>
      <c r="G135" s="1776" t="s">
        <v>22</v>
      </c>
      <c r="H135" s="1776" t="s">
        <v>22</v>
      </c>
      <c r="I135" s="1776" t="s">
        <v>806</v>
      </c>
    </row>
    <row r="136" spans="1:9" ht="11.25" customHeight="1">
      <c r="A136" s="1776" t="s">
        <v>2244</v>
      </c>
      <c r="B136" s="1776" t="s">
        <v>16</v>
      </c>
      <c r="C136" s="1776" t="s">
        <v>2715</v>
      </c>
      <c r="D136" s="1776" t="s">
        <v>2716</v>
      </c>
      <c r="E136" s="1776" t="s">
        <v>2717</v>
      </c>
      <c r="F136" s="1776" t="s">
        <v>2309</v>
      </c>
      <c r="G136" s="1776" t="s">
        <v>22</v>
      </c>
      <c r="H136" s="1776" t="s">
        <v>22</v>
      </c>
      <c r="I136" s="1776" t="s">
        <v>806</v>
      </c>
    </row>
    <row r="137" spans="1:9" ht="11.25" customHeight="1">
      <c r="A137" s="1776" t="s">
        <v>2244</v>
      </c>
      <c r="B137" s="1776" t="s">
        <v>16</v>
      </c>
      <c r="C137" s="1776" t="s">
        <v>2718</v>
      </c>
      <c r="D137" s="1776" t="s">
        <v>2719</v>
      </c>
      <c r="E137" s="1776" t="s">
        <v>2720</v>
      </c>
      <c r="F137" s="1776" t="s">
        <v>2697</v>
      </c>
      <c r="G137" s="1776" t="s">
        <v>22</v>
      </c>
      <c r="H137" s="1776" t="s">
        <v>22</v>
      </c>
      <c r="I137" s="1776" t="s">
        <v>806</v>
      </c>
    </row>
    <row r="138" spans="1:9" ht="11.25" customHeight="1">
      <c r="A138" s="1776" t="s">
        <v>2244</v>
      </c>
      <c r="B138" s="1776" t="s">
        <v>16</v>
      </c>
      <c r="C138" s="1776" t="s">
        <v>2721</v>
      </c>
      <c r="D138" s="1776" t="s">
        <v>2722</v>
      </c>
      <c r="E138" s="1776" t="s">
        <v>2723</v>
      </c>
      <c r="F138" s="1776" t="s">
        <v>2527</v>
      </c>
      <c r="G138" s="1776" t="s">
        <v>22</v>
      </c>
      <c r="H138" s="1776" t="s">
        <v>22</v>
      </c>
      <c r="I138" s="1776" t="s">
        <v>806</v>
      </c>
    </row>
    <row r="139" spans="1:9" ht="11.25" customHeight="1">
      <c r="A139" s="1776" t="s">
        <v>2244</v>
      </c>
      <c r="B139" s="1776" t="s">
        <v>16</v>
      </c>
      <c r="C139" s="1776" t="s">
        <v>2724</v>
      </c>
      <c r="D139" s="1776" t="s">
        <v>2725</v>
      </c>
      <c r="E139" s="1776" t="s">
        <v>2726</v>
      </c>
      <c r="F139" s="1776" t="s">
        <v>2679</v>
      </c>
      <c r="G139" s="1776" t="s">
        <v>22</v>
      </c>
      <c r="H139" s="1776" t="s">
        <v>22</v>
      </c>
      <c r="I139" s="1776" t="s">
        <v>806</v>
      </c>
    </row>
    <row r="140" spans="1:9" ht="11.25" customHeight="1">
      <c r="A140" s="1776" t="s">
        <v>2244</v>
      </c>
      <c r="B140" s="1776" t="s">
        <v>16</v>
      </c>
      <c r="C140" s="1776" t="s">
        <v>2727</v>
      </c>
      <c r="D140" s="1776" t="s">
        <v>2728</v>
      </c>
      <c r="E140" s="1776" t="s">
        <v>2729</v>
      </c>
      <c r="F140" s="1776" t="s">
        <v>2679</v>
      </c>
      <c r="G140" s="1776" t="s">
        <v>22</v>
      </c>
      <c r="H140" s="1776" t="s">
        <v>22</v>
      </c>
      <c r="I140" s="1776" t="s">
        <v>806</v>
      </c>
    </row>
    <row r="141" spans="1:9" ht="11.25" customHeight="1">
      <c r="A141" s="1776" t="s">
        <v>2244</v>
      </c>
      <c r="B141" s="1776" t="s">
        <v>16</v>
      </c>
      <c r="C141" s="1776" t="s">
        <v>2730</v>
      </c>
      <c r="D141" s="1776" t="s">
        <v>2731</v>
      </c>
      <c r="E141" s="1776" t="s">
        <v>2732</v>
      </c>
      <c r="F141" s="1776" t="s">
        <v>2679</v>
      </c>
      <c r="G141" s="1776" t="s">
        <v>22</v>
      </c>
      <c r="H141" s="1776" t="s">
        <v>22</v>
      </c>
      <c r="I141" s="1776" t="s">
        <v>806</v>
      </c>
    </row>
    <row r="142" spans="1:9" ht="11.25" customHeight="1">
      <c r="A142" s="1776" t="s">
        <v>2244</v>
      </c>
      <c r="B142" s="1776" t="s">
        <v>16</v>
      </c>
      <c r="C142" s="1776" t="s">
        <v>2733</v>
      </c>
      <c r="D142" s="1776" t="s">
        <v>2734</v>
      </c>
      <c r="E142" s="1776" t="s">
        <v>2735</v>
      </c>
      <c r="F142" s="1776" t="s">
        <v>2679</v>
      </c>
      <c r="G142" s="1776" t="s">
        <v>22</v>
      </c>
      <c r="H142" s="1776" t="s">
        <v>22</v>
      </c>
      <c r="I142" s="1776" t="s">
        <v>806</v>
      </c>
    </row>
    <row r="143" spans="1:9" ht="11.25" customHeight="1">
      <c r="A143" s="1776" t="s">
        <v>2244</v>
      </c>
      <c r="B143" s="1776" t="s">
        <v>16</v>
      </c>
      <c r="C143" s="1776" t="s">
        <v>2736</v>
      </c>
      <c r="D143" s="1776" t="s">
        <v>2737</v>
      </c>
      <c r="E143" s="1776" t="s">
        <v>2738</v>
      </c>
      <c r="F143" s="1776" t="s">
        <v>2679</v>
      </c>
      <c r="G143" s="1776" t="s">
        <v>22</v>
      </c>
      <c r="H143" s="1776" t="s">
        <v>22</v>
      </c>
      <c r="I143" s="1776" t="s">
        <v>806</v>
      </c>
    </row>
    <row r="144" spans="1:9" ht="11.25" customHeight="1">
      <c r="A144" s="1776" t="s">
        <v>2244</v>
      </c>
      <c r="B144" s="1776" t="s">
        <v>16</v>
      </c>
      <c r="C144" s="1776" t="s">
        <v>2739</v>
      </c>
      <c r="D144" s="1776" t="s">
        <v>2740</v>
      </c>
      <c r="E144" s="1776" t="s">
        <v>2741</v>
      </c>
      <c r="F144" s="1776" t="s">
        <v>2679</v>
      </c>
      <c r="G144" s="1776" t="s">
        <v>22</v>
      </c>
      <c r="H144" s="1776" t="s">
        <v>22</v>
      </c>
      <c r="I144" s="1776" t="s">
        <v>806</v>
      </c>
    </row>
    <row r="145" spans="1:9" ht="11.25" customHeight="1">
      <c r="A145" s="1776" t="s">
        <v>2244</v>
      </c>
      <c r="B145" s="1776" t="s">
        <v>16</v>
      </c>
      <c r="C145" s="1776" t="s">
        <v>2742</v>
      </c>
      <c r="D145" s="1776" t="s">
        <v>2743</v>
      </c>
      <c r="E145" s="1776" t="s">
        <v>2744</v>
      </c>
      <c r="F145" s="1776" t="s">
        <v>2344</v>
      </c>
      <c r="G145" s="1776" t="s">
        <v>22</v>
      </c>
      <c r="H145" s="1776" t="s">
        <v>22</v>
      </c>
      <c r="I145" s="1776" t="s">
        <v>806</v>
      </c>
    </row>
    <row r="146" spans="1:9" ht="11.25" customHeight="1">
      <c r="A146" s="1776" t="s">
        <v>2244</v>
      </c>
      <c r="B146" s="1776" t="s">
        <v>16</v>
      </c>
      <c r="C146" s="1776" t="s">
        <v>2745</v>
      </c>
      <c r="D146" s="1776" t="s">
        <v>2746</v>
      </c>
      <c r="E146" s="1776" t="s">
        <v>2747</v>
      </c>
      <c r="F146" s="1776" t="s">
        <v>2679</v>
      </c>
      <c r="G146" s="1776" t="s">
        <v>22</v>
      </c>
      <c r="H146" s="1776" t="s">
        <v>22</v>
      </c>
      <c r="I146" s="1776" t="s">
        <v>806</v>
      </c>
    </row>
    <row r="147" spans="1:9" ht="11.25" customHeight="1">
      <c r="A147" s="1776" t="s">
        <v>2244</v>
      </c>
      <c r="B147" s="1776" t="s">
        <v>16</v>
      </c>
      <c r="C147" s="1776" t="s">
        <v>2748</v>
      </c>
      <c r="D147" s="1776" t="s">
        <v>2749</v>
      </c>
      <c r="E147" s="1776" t="s">
        <v>2750</v>
      </c>
      <c r="F147" s="1776" t="s">
        <v>2751</v>
      </c>
      <c r="G147" s="1776" t="s">
        <v>22</v>
      </c>
      <c r="H147" s="1776" t="s">
        <v>22</v>
      </c>
      <c r="I147" s="1776" t="s">
        <v>806</v>
      </c>
    </row>
    <row r="148" spans="1:9" ht="11.25" customHeight="1">
      <c r="A148" s="1776" t="s">
        <v>2244</v>
      </c>
      <c r="B148" s="1776" t="s">
        <v>16</v>
      </c>
      <c r="C148" s="1776" t="s">
        <v>2752</v>
      </c>
      <c r="D148" s="1776" t="s">
        <v>2753</v>
      </c>
      <c r="E148" s="1776" t="s">
        <v>2754</v>
      </c>
      <c r="F148" s="1776" t="s">
        <v>2679</v>
      </c>
      <c r="G148" s="1776" t="s">
        <v>22</v>
      </c>
      <c r="H148" s="1776" t="s">
        <v>22</v>
      </c>
      <c r="I148" s="1776" t="s">
        <v>806</v>
      </c>
    </row>
    <row r="149" spans="1:9" ht="11.25" customHeight="1">
      <c r="A149" s="1776" t="s">
        <v>2244</v>
      </c>
      <c r="B149" s="1776" t="s">
        <v>16</v>
      </c>
      <c r="C149" s="1776" t="s">
        <v>2755</v>
      </c>
      <c r="D149" s="1776" t="s">
        <v>2756</v>
      </c>
      <c r="E149" s="1776" t="s">
        <v>2757</v>
      </c>
      <c r="F149" s="1776" t="s">
        <v>2758</v>
      </c>
      <c r="G149" s="1776" t="s">
        <v>22</v>
      </c>
      <c r="H149" s="1776" t="s">
        <v>22</v>
      </c>
      <c r="I149" s="1776" t="s">
        <v>806</v>
      </c>
    </row>
    <row r="150" spans="1:9" ht="11.25" customHeight="1">
      <c r="A150" s="1776" t="s">
        <v>2244</v>
      </c>
      <c r="B150" s="1776" t="s">
        <v>16</v>
      </c>
      <c r="C150" s="1776" t="s">
        <v>2759</v>
      </c>
      <c r="D150" s="1776" t="s">
        <v>2760</v>
      </c>
      <c r="E150" s="1776" t="s">
        <v>2761</v>
      </c>
      <c r="F150" s="1776" t="s">
        <v>2500</v>
      </c>
      <c r="G150" s="1776" t="s">
        <v>22</v>
      </c>
      <c r="H150" s="1776" t="s">
        <v>22</v>
      </c>
      <c r="I150" s="1776" t="s">
        <v>806</v>
      </c>
    </row>
    <row r="151" spans="1:9" ht="11.25" customHeight="1">
      <c r="A151" s="1776" t="s">
        <v>2244</v>
      </c>
      <c r="B151" s="1776" t="s">
        <v>16</v>
      </c>
      <c r="C151" s="1776" t="s">
        <v>2762</v>
      </c>
      <c r="D151" s="1776" t="s">
        <v>2763</v>
      </c>
      <c r="E151" s="1776" t="s">
        <v>2764</v>
      </c>
      <c r="F151" s="1776" t="s">
        <v>2523</v>
      </c>
      <c r="G151" s="1776" t="s">
        <v>22</v>
      </c>
      <c r="H151" s="1776" t="s">
        <v>22</v>
      </c>
      <c r="I151" s="1776" t="s">
        <v>806</v>
      </c>
    </row>
    <row r="152" spans="1:9" ht="11.25" customHeight="1">
      <c r="A152" s="1776" t="s">
        <v>2244</v>
      </c>
      <c r="B152" s="1776" t="s">
        <v>16</v>
      </c>
      <c r="C152" s="1776" t="s">
        <v>2765</v>
      </c>
      <c r="D152" s="1776" t="s">
        <v>2766</v>
      </c>
      <c r="E152" s="1776" t="s">
        <v>2767</v>
      </c>
      <c r="F152" s="1776" t="s">
        <v>2294</v>
      </c>
      <c r="G152" s="1776" t="s">
        <v>22</v>
      </c>
      <c r="H152" s="1776" t="s">
        <v>22</v>
      </c>
      <c r="I152" s="1776" t="s">
        <v>806</v>
      </c>
    </row>
    <row r="153" spans="1:9" ht="11.25" customHeight="1">
      <c r="A153" s="1776" t="s">
        <v>2244</v>
      </c>
      <c r="B153" s="1776" t="s">
        <v>16</v>
      </c>
      <c r="C153" s="1776" t="s">
        <v>2768</v>
      </c>
      <c r="D153" s="1776" t="s">
        <v>2769</v>
      </c>
      <c r="E153" s="1776" t="s">
        <v>2770</v>
      </c>
      <c r="F153" s="1776" t="s">
        <v>2771</v>
      </c>
      <c r="G153" s="1776" t="s">
        <v>22</v>
      </c>
      <c r="H153" s="1776" t="s">
        <v>22</v>
      </c>
      <c r="I153" s="1776" t="s">
        <v>806</v>
      </c>
    </row>
    <row r="154" spans="1:9" ht="11.25" customHeight="1">
      <c r="A154" s="1776" t="s">
        <v>2244</v>
      </c>
      <c r="B154" s="1776" t="s">
        <v>16</v>
      </c>
      <c r="C154" s="1776" t="s">
        <v>2772</v>
      </c>
      <c r="D154" s="1776" t="s">
        <v>2773</v>
      </c>
      <c r="E154" s="1776" t="s">
        <v>2774</v>
      </c>
      <c r="F154" s="1776" t="s">
        <v>2527</v>
      </c>
      <c r="G154" s="1776" t="s">
        <v>22</v>
      </c>
      <c r="H154" s="1776" t="s">
        <v>22</v>
      </c>
      <c r="I154" s="1776" t="s">
        <v>806</v>
      </c>
    </row>
    <row r="155" spans="1:9" ht="11.25" customHeight="1">
      <c r="A155" s="1776" t="s">
        <v>2244</v>
      </c>
      <c r="B155" s="1776" t="s">
        <v>16</v>
      </c>
      <c r="C155" s="1776" t="s">
        <v>2775</v>
      </c>
      <c r="D155" s="1776" t="s">
        <v>2776</v>
      </c>
      <c r="E155" s="1776" t="s">
        <v>2777</v>
      </c>
      <c r="F155" s="1776" t="s">
        <v>2266</v>
      </c>
      <c r="G155" s="1776" t="s">
        <v>22</v>
      </c>
      <c r="H155" s="1776" t="s">
        <v>22</v>
      </c>
      <c r="I155" s="1776" t="s">
        <v>806</v>
      </c>
    </row>
    <row r="156" spans="1:9" ht="11.25" customHeight="1">
      <c r="A156" s="1776" t="s">
        <v>2244</v>
      </c>
      <c r="B156" s="1776" t="s">
        <v>16</v>
      </c>
      <c r="C156" s="1776" t="s">
        <v>2778</v>
      </c>
      <c r="D156" s="1776" t="s">
        <v>2779</v>
      </c>
      <c r="E156" s="1776" t="s">
        <v>2780</v>
      </c>
      <c r="F156" s="1776" t="s">
        <v>2523</v>
      </c>
      <c r="G156" s="1776" t="s">
        <v>22</v>
      </c>
      <c r="H156" s="1776" t="s">
        <v>22</v>
      </c>
      <c r="I156" s="1776" t="s">
        <v>806</v>
      </c>
    </row>
    <row r="157" spans="1:9" ht="11.25" customHeight="1">
      <c r="A157" s="1776" t="s">
        <v>2244</v>
      </c>
      <c r="B157" s="1776" t="s">
        <v>16</v>
      </c>
      <c r="C157" s="1776" t="s">
        <v>2781</v>
      </c>
      <c r="D157" s="1776" t="s">
        <v>2782</v>
      </c>
      <c r="E157" s="1776" t="s">
        <v>2783</v>
      </c>
      <c r="F157" s="1776" t="s">
        <v>2344</v>
      </c>
      <c r="G157" s="1776" t="s">
        <v>22</v>
      </c>
      <c r="H157" s="1776" t="s">
        <v>22</v>
      </c>
      <c r="I157" s="1776" t="s">
        <v>806</v>
      </c>
    </row>
    <row r="158" spans="1:9" ht="11.25" customHeight="1">
      <c r="A158" s="1776" t="s">
        <v>2244</v>
      </c>
      <c r="B158" s="1776" t="s">
        <v>16</v>
      </c>
      <c r="C158" s="1776" t="s">
        <v>2784</v>
      </c>
      <c r="D158" s="1776" t="s">
        <v>2785</v>
      </c>
      <c r="E158" s="1776" t="s">
        <v>2786</v>
      </c>
      <c r="F158" s="1776" t="s">
        <v>2294</v>
      </c>
      <c r="G158" s="1776" t="s">
        <v>22</v>
      </c>
      <c r="H158" s="1776" t="s">
        <v>22</v>
      </c>
      <c r="I158" s="1776" t="s">
        <v>806</v>
      </c>
    </row>
    <row r="159" spans="1:9" ht="11.25" customHeight="1">
      <c r="A159" s="1776" t="s">
        <v>2244</v>
      </c>
      <c r="B159" s="1776" t="s">
        <v>16</v>
      </c>
      <c r="C159" s="1776" t="s">
        <v>2787</v>
      </c>
      <c r="D159" s="1776" t="s">
        <v>2788</v>
      </c>
      <c r="E159" s="1776" t="s">
        <v>2789</v>
      </c>
      <c r="F159" s="1776" t="s">
        <v>2294</v>
      </c>
      <c r="G159" s="1776" t="s">
        <v>22</v>
      </c>
      <c r="H159" s="1776" t="s">
        <v>22</v>
      </c>
      <c r="I159" s="1776" t="s">
        <v>806</v>
      </c>
    </row>
    <row r="160" spans="1:9" ht="11.25" customHeight="1">
      <c r="A160" s="1776" t="s">
        <v>2244</v>
      </c>
      <c r="B160" s="1776" t="s">
        <v>16</v>
      </c>
      <c r="C160" s="1776" t="s">
        <v>2790</v>
      </c>
      <c r="D160" s="1776" t="s">
        <v>2791</v>
      </c>
      <c r="E160" s="1776" t="s">
        <v>2792</v>
      </c>
      <c r="F160" s="1776" t="s">
        <v>2771</v>
      </c>
      <c r="G160" s="1776" t="s">
        <v>22</v>
      </c>
      <c r="H160" s="1776" t="s">
        <v>22</v>
      </c>
      <c r="I160" s="1776" t="s">
        <v>806</v>
      </c>
    </row>
    <row r="161" spans="1:9" ht="11.25" customHeight="1">
      <c r="A161" s="1776" t="s">
        <v>2244</v>
      </c>
      <c r="B161" s="1776" t="s">
        <v>16</v>
      </c>
      <c r="C161" s="1776" t="s">
        <v>2793</v>
      </c>
      <c r="D161" s="1776" t="s">
        <v>2794</v>
      </c>
      <c r="E161" s="1776" t="s">
        <v>2795</v>
      </c>
      <c r="F161" s="1776" t="s">
        <v>2527</v>
      </c>
      <c r="G161" s="1776" t="s">
        <v>22</v>
      </c>
      <c r="H161" s="1776" t="s">
        <v>22</v>
      </c>
      <c r="I161" s="1776" t="s">
        <v>806</v>
      </c>
    </row>
    <row r="162" spans="1:9" ht="11.25" customHeight="1">
      <c r="A162" s="1776" t="s">
        <v>2244</v>
      </c>
      <c r="B162" s="1776" t="s">
        <v>16</v>
      </c>
      <c r="C162" s="1776" t="s">
        <v>2796</v>
      </c>
      <c r="D162" s="1776" t="s">
        <v>2797</v>
      </c>
      <c r="E162" s="1776" t="s">
        <v>2798</v>
      </c>
      <c r="F162" s="1776" t="s">
        <v>2519</v>
      </c>
      <c r="G162" s="1776" t="s">
        <v>22</v>
      </c>
      <c r="H162" s="1776" t="s">
        <v>22</v>
      </c>
      <c r="I162" s="1776" t="s">
        <v>806</v>
      </c>
    </row>
    <row r="163" spans="1:9" ht="11.25" customHeight="1">
      <c r="A163" s="1776" t="s">
        <v>2244</v>
      </c>
      <c r="B163" s="1776" t="s">
        <v>16</v>
      </c>
      <c r="C163" s="1776" t="s">
        <v>2799</v>
      </c>
      <c r="D163" s="1776" t="s">
        <v>2800</v>
      </c>
      <c r="E163" s="1776" t="s">
        <v>2801</v>
      </c>
      <c r="F163" s="1776" t="s">
        <v>2515</v>
      </c>
      <c r="G163" s="1776" t="s">
        <v>22</v>
      </c>
      <c r="H163" s="1776" t="s">
        <v>22</v>
      </c>
      <c r="I163" s="1776" t="s">
        <v>806</v>
      </c>
    </row>
    <row r="164" spans="1:9" ht="11.25" customHeight="1">
      <c r="A164" s="1776" t="s">
        <v>2244</v>
      </c>
      <c r="B164" s="1776" t="s">
        <v>16</v>
      </c>
      <c r="C164" s="1776" t="s">
        <v>2802</v>
      </c>
      <c r="D164" s="1776" t="s">
        <v>2803</v>
      </c>
      <c r="E164" s="1776" t="s">
        <v>2804</v>
      </c>
      <c r="F164" s="1776" t="s">
        <v>2679</v>
      </c>
      <c r="G164" s="1776" t="s">
        <v>22</v>
      </c>
      <c r="H164" s="1776" t="s">
        <v>22</v>
      </c>
      <c r="I164" s="1776" t="s">
        <v>806</v>
      </c>
    </row>
    <row r="165" spans="1:9" ht="11.25" customHeight="1">
      <c r="A165" s="1776" t="s">
        <v>2244</v>
      </c>
      <c r="B165" s="1776" t="s">
        <v>16</v>
      </c>
      <c r="C165" s="1776" t="s">
        <v>2805</v>
      </c>
      <c r="D165" s="1776" t="s">
        <v>2806</v>
      </c>
      <c r="E165" s="1776" t="s">
        <v>2807</v>
      </c>
      <c r="F165" s="1776" t="s">
        <v>2808</v>
      </c>
      <c r="G165" s="1776" t="s">
        <v>22</v>
      </c>
      <c r="H165" s="1776" t="s">
        <v>22</v>
      </c>
      <c r="I165" s="1776" t="s">
        <v>806</v>
      </c>
    </row>
    <row r="166" spans="1:9" ht="11.25" customHeight="1">
      <c r="A166" s="1776" t="s">
        <v>2244</v>
      </c>
      <c r="B166" s="1776" t="s">
        <v>16</v>
      </c>
      <c r="C166" s="1776" t="s">
        <v>2809</v>
      </c>
      <c r="D166" s="1776" t="s">
        <v>2810</v>
      </c>
      <c r="E166" s="1776" t="s">
        <v>2811</v>
      </c>
      <c r="F166" s="1776" t="s">
        <v>2302</v>
      </c>
      <c r="G166" s="1776" t="s">
        <v>22</v>
      </c>
      <c r="H166" s="1776" t="s">
        <v>22</v>
      </c>
      <c r="I166" s="1776" t="s">
        <v>806</v>
      </c>
    </row>
    <row r="167" spans="1:9" ht="11.25" customHeight="1">
      <c r="A167" s="1776" t="s">
        <v>2244</v>
      </c>
      <c r="B167" s="1776" t="s">
        <v>16</v>
      </c>
      <c r="C167" s="1776" t="s">
        <v>2812</v>
      </c>
      <c r="D167" s="1776" t="s">
        <v>2813</v>
      </c>
      <c r="E167" s="1776" t="s">
        <v>2814</v>
      </c>
      <c r="F167" s="1776" t="s">
        <v>2815</v>
      </c>
      <c r="G167" s="1776" t="s">
        <v>22</v>
      </c>
      <c r="H167" s="1776" t="s">
        <v>22</v>
      </c>
      <c r="I167" s="1776" t="s">
        <v>806</v>
      </c>
    </row>
    <row r="168" spans="1:9" ht="11.25" customHeight="1">
      <c r="A168" s="1776" t="s">
        <v>2244</v>
      </c>
      <c r="B168" s="1776" t="s">
        <v>16</v>
      </c>
      <c r="C168" s="1776" t="s">
        <v>2816</v>
      </c>
      <c r="D168" s="1776" t="s">
        <v>2817</v>
      </c>
      <c r="E168" s="1776" t="s">
        <v>2818</v>
      </c>
      <c r="F168" s="1776" t="s">
        <v>2679</v>
      </c>
      <c r="G168" s="1776" t="s">
        <v>22</v>
      </c>
      <c r="H168" s="1776" t="s">
        <v>22</v>
      </c>
      <c r="I168" s="1776" t="s">
        <v>806</v>
      </c>
    </row>
    <row r="169" spans="1:9" ht="11.25" customHeight="1">
      <c r="A169" s="1776" t="s">
        <v>2244</v>
      </c>
      <c r="B169" s="1776" t="s">
        <v>16</v>
      </c>
      <c r="C169" s="1776" t="s">
        <v>2819</v>
      </c>
      <c r="D169" s="1776" t="s">
        <v>2820</v>
      </c>
      <c r="E169" s="1776" t="s">
        <v>2821</v>
      </c>
      <c r="F169" s="1776" t="s">
        <v>2534</v>
      </c>
      <c r="G169" s="1776" t="s">
        <v>22</v>
      </c>
      <c r="H169" s="1776" t="s">
        <v>22</v>
      </c>
      <c r="I169" s="1776" t="s">
        <v>806</v>
      </c>
    </row>
    <row r="170" spans="1:9" ht="11.25" customHeight="1">
      <c r="A170" s="1776" t="s">
        <v>2244</v>
      </c>
      <c r="B170" s="1776" t="s">
        <v>16</v>
      </c>
      <c r="C170" s="1776" t="s">
        <v>2822</v>
      </c>
      <c r="D170" s="1776" t="s">
        <v>2823</v>
      </c>
      <c r="E170" s="1776" t="s">
        <v>2824</v>
      </c>
      <c r="F170" s="1776" t="s">
        <v>2697</v>
      </c>
      <c r="G170" s="1776" t="s">
        <v>22</v>
      </c>
      <c r="H170" s="1776" t="s">
        <v>22</v>
      </c>
      <c r="I170" s="1776" t="s">
        <v>806</v>
      </c>
    </row>
    <row r="171" spans="1:9" ht="11.25" customHeight="1">
      <c r="A171" s="1776" t="s">
        <v>2244</v>
      </c>
      <c r="B171" s="1776" t="s">
        <v>16</v>
      </c>
      <c r="C171" s="1776" t="s">
        <v>2825</v>
      </c>
      <c r="D171" s="1776" t="s">
        <v>2826</v>
      </c>
      <c r="E171" s="1776" t="s">
        <v>2827</v>
      </c>
      <c r="F171" s="1776" t="s">
        <v>2828</v>
      </c>
      <c r="G171" s="1776" t="s">
        <v>22</v>
      </c>
      <c r="H171" s="1776" t="s">
        <v>22</v>
      </c>
      <c r="I171" s="1776" t="s">
        <v>806</v>
      </c>
    </row>
    <row r="172" spans="1:9" ht="11.25" customHeight="1">
      <c r="A172" s="1776" t="s">
        <v>2244</v>
      </c>
      <c r="B172" s="1776" t="s">
        <v>16</v>
      </c>
      <c r="C172" s="1776" t="s">
        <v>2829</v>
      </c>
      <c r="D172" s="1776" t="s">
        <v>2830</v>
      </c>
      <c r="E172" s="1776" t="s">
        <v>2831</v>
      </c>
      <c r="F172" s="1776" t="s">
        <v>2534</v>
      </c>
      <c r="G172" s="1776" t="s">
        <v>22</v>
      </c>
      <c r="H172" s="1776" t="s">
        <v>22</v>
      </c>
      <c r="I172" s="1776" t="s">
        <v>806</v>
      </c>
    </row>
    <row r="173" spans="1:9" ht="11.25" customHeight="1">
      <c r="A173" s="1776" t="s">
        <v>2244</v>
      </c>
      <c r="B173" s="1776" t="s">
        <v>16</v>
      </c>
      <c r="C173" s="1776" t="s">
        <v>2832</v>
      </c>
      <c r="D173" s="1776" t="s">
        <v>2833</v>
      </c>
      <c r="E173" s="1776" t="s">
        <v>2834</v>
      </c>
      <c r="F173" s="1776" t="s">
        <v>2835</v>
      </c>
      <c r="G173" s="1776" t="s">
        <v>22</v>
      </c>
      <c r="H173" s="1776" t="s">
        <v>22</v>
      </c>
      <c r="I173" s="1776" t="s">
        <v>806</v>
      </c>
    </row>
    <row r="174" spans="1:9" ht="11.25" customHeight="1">
      <c r="A174" s="1776" t="s">
        <v>2244</v>
      </c>
      <c r="B174" s="1776" t="s">
        <v>16</v>
      </c>
      <c r="C174" s="1776" t="s">
        <v>2836</v>
      </c>
      <c r="D174" s="1776" t="s">
        <v>2837</v>
      </c>
      <c r="E174" s="1776" t="s">
        <v>2838</v>
      </c>
      <c r="F174" s="1776" t="s">
        <v>2313</v>
      </c>
      <c r="G174" s="1776" t="s">
        <v>22</v>
      </c>
      <c r="H174" s="1776" t="s">
        <v>22</v>
      </c>
      <c r="I174" s="1776" t="s">
        <v>806</v>
      </c>
    </row>
    <row r="175" spans="1:9" ht="11.25" customHeight="1">
      <c r="A175" s="1776" t="s">
        <v>2244</v>
      </c>
      <c r="B175" s="1776" t="s">
        <v>16</v>
      </c>
      <c r="C175" s="1776" t="s">
        <v>2839</v>
      </c>
      <c r="D175" s="1776" t="s">
        <v>2840</v>
      </c>
      <c r="E175" s="1776" t="s">
        <v>2841</v>
      </c>
      <c r="F175" s="1776" t="s">
        <v>2511</v>
      </c>
      <c r="G175" s="1776" t="s">
        <v>22</v>
      </c>
      <c r="H175" s="1776" t="s">
        <v>22</v>
      </c>
      <c r="I175" s="1776" t="s">
        <v>806</v>
      </c>
    </row>
    <row r="176" spans="1:9" ht="11.25" customHeight="1">
      <c r="A176" s="1776" t="s">
        <v>2244</v>
      </c>
      <c r="B176" s="1776" t="s">
        <v>16</v>
      </c>
      <c r="C176" s="1776" t="s">
        <v>2842</v>
      </c>
      <c r="D176" s="1776" t="s">
        <v>2843</v>
      </c>
      <c r="E176" s="1776" t="s">
        <v>2844</v>
      </c>
      <c r="F176" s="1776" t="s">
        <v>2631</v>
      </c>
      <c r="G176" s="1776" t="s">
        <v>2845</v>
      </c>
      <c r="H176" s="1776" t="s">
        <v>22</v>
      </c>
      <c r="I176" s="1776" t="s">
        <v>806</v>
      </c>
    </row>
    <row r="177" spans="1:9" ht="11.25" customHeight="1">
      <c r="A177" s="1776" t="s">
        <v>2244</v>
      </c>
      <c r="B177" s="1776" t="s">
        <v>16</v>
      </c>
      <c r="C177" s="1776" t="s">
        <v>2846</v>
      </c>
      <c r="D177" s="1776" t="s">
        <v>2847</v>
      </c>
      <c r="E177" s="1776" t="s">
        <v>2848</v>
      </c>
      <c r="F177" s="1776" t="s">
        <v>2690</v>
      </c>
      <c r="G177" s="1776" t="s">
        <v>22</v>
      </c>
      <c r="H177" s="1776" t="s">
        <v>22</v>
      </c>
      <c r="I177" s="1776" t="s">
        <v>806</v>
      </c>
    </row>
    <row r="178" spans="1:9" ht="11.25" customHeight="1">
      <c r="A178" s="1776" t="s">
        <v>2244</v>
      </c>
      <c r="B178" s="1776" t="s">
        <v>16</v>
      </c>
      <c r="C178" s="1776" t="s">
        <v>2849</v>
      </c>
      <c r="D178" s="1776" t="s">
        <v>2850</v>
      </c>
      <c r="E178" s="1776" t="s">
        <v>2851</v>
      </c>
      <c r="F178" s="1776" t="s">
        <v>2519</v>
      </c>
      <c r="G178" s="1776" t="s">
        <v>22</v>
      </c>
      <c r="H178" s="1776" t="s">
        <v>22</v>
      </c>
      <c r="I178" s="1776" t="s">
        <v>806</v>
      </c>
    </row>
    <row r="179" spans="1:9" ht="11.25" customHeight="1">
      <c r="A179" s="1776" t="s">
        <v>2244</v>
      </c>
      <c r="B179" s="1776" t="s">
        <v>16</v>
      </c>
      <c r="C179" s="1776" t="s">
        <v>2852</v>
      </c>
      <c r="D179" s="1776" t="s">
        <v>2853</v>
      </c>
      <c r="E179" s="1776" t="s">
        <v>2854</v>
      </c>
      <c r="F179" s="1776" t="s">
        <v>2855</v>
      </c>
      <c r="G179" s="1776" t="s">
        <v>22</v>
      </c>
      <c r="H179" s="1776" t="s">
        <v>22</v>
      </c>
      <c r="I179" s="1776" t="s">
        <v>806</v>
      </c>
    </row>
    <row r="180" spans="1:9" ht="11.25" customHeight="1">
      <c r="A180" s="1776" t="s">
        <v>2244</v>
      </c>
      <c r="B180" s="1776" t="s">
        <v>16</v>
      </c>
      <c r="C180" s="1776" t="s">
        <v>2856</v>
      </c>
      <c r="D180" s="1776" t="s">
        <v>2857</v>
      </c>
      <c r="E180" s="1776" t="s">
        <v>2858</v>
      </c>
      <c r="F180" s="1776" t="s">
        <v>2491</v>
      </c>
      <c r="G180" s="1776" t="s">
        <v>22</v>
      </c>
      <c r="H180" s="1776" t="s">
        <v>22</v>
      </c>
      <c r="I180" s="1776" t="s">
        <v>806</v>
      </c>
    </row>
    <row r="181" spans="1:9" ht="11.25" customHeight="1">
      <c r="A181" s="1776" t="s">
        <v>2244</v>
      </c>
      <c r="B181" s="1776" t="s">
        <v>16</v>
      </c>
      <c r="C181" s="1776" t="s">
        <v>2859</v>
      </c>
      <c r="D181" s="1776" t="s">
        <v>2860</v>
      </c>
      <c r="E181" s="1776" t="s">
        <v>2861</v>
      </c>
      <c r="F181" s="1776" t="s">
        <v>2862</v>
      </c>
      <c r="G181" s="1776" t="s">
        <v>22</v>
      </c>
      <c r="H181" s="1776" t="s">
        <v>22</v>
      </c>
      <c r="I181" s="1776" t="s">
        <v>806</v>
      </c>
    </row>
    <row r="182" spans="1:9" ht="11.25" customHeight="1">
      <c r="A182" s="1776" t="s">
        <v>2244</v>
      </c>
      <c r="B182" s="1776" t="s">
        <v>16</v>
      </c>
      <c r="C182" s="1776" t="s">
        <v>2863</v>
      </c>
      <c r="D182" s="1776" t="s">
        <v>2864</v>
      </c>
      <c r="E182" s="1776" t="s">
        <v>2865</v>
      </c>
      <c r="F182" s="1776" t="s">
        <v>2527</v>
      </c>
      <c r="G182" s="1776" t="s">
        <v>2866</v>
      </c>
      <c r="H182" s="1776" t="s">
        <v>22</v>
      </c>
      <c r="I182" s="1776" t="s">
        <v>806</v>
      </c>
    </row>
    <row r="183" spans="1:9" ht="11.25" customHeight="1">
      <c r="A183" s="1776" t="s">
        <v>2244</v>
      </c>
      <c r="B183" s="1776" t="s">
        <v>16</v>
      </c>
      <c r="C183" s="1776" t="s">
        <v>2867</v>
      </c>
      <c r="D183" s="1776" t="s">
        <v>2868</v>
      </c>
      <c r="E183" s="1776" t="s">
        <v>2869</v>
      </c>
      <c r="F183" s="1776" t="s">
        <v>2527</v>
      </c>
      <c r="G183" s="1776" t="s">
        <v>22</v>
      </c>
      <c r="H183" s="1776" t="s">
        <v>22</v>
      </c>
      <c r="I183" s="1776" t="s">
        <v>806</v>
      </c>
    </row>
    <row r="184" spans="1:9" ht="11.25" customHeight="1">
      <c r="A184" s="1776" t="s">
        <v>2244</v>
      </c>
      <c r="B184" s="1776" t="s">
        <v>16</v>
      </c>
      <c r="C184" s="1776" t="s">
        <v>2870</v>
      </c>
      <c r="D184" s="1776" t="s">
        <v>2871</v>
      </c>
      <c r="E184" s="1776" t="s">
        <v>2872</v>
      </c>
      <c r="F184" s="1776" t="s">
        <v>2873</v>
      </c>
      <c r="G184" s="1776" t="s">
        <v>22</v>
      </c>
      <c r="H184" s="1776" t="s">
        <v>22</v>
      </c>
      <c r="I184" s="1776" t="s">
        <v>806</v>
      </c>
    </row>
    <row r="185" spans="1:9" ht="11.25" customHeight="1">
      <c r="A185" s="1776" t="s">
        <v>2244</v>
      </c>
      <c r="B185" s="1776" t="s">
        <v>16</v>
      </c>
      <c r="C185" s="1776" t="s">
        <v>2874</v>
      </c>
      <c r="D185" s="1776" t="s">
        <v>2875</v>
      </c>
      <c r="E185" s="1776" t="s">
        <v>2876</v>
      </c>
      <c r="F185" s="1776" t="s">
        <v>2679</v>
      </c>
      <c r="G185" s="1776" t="s">
        <v>22</v>
      </c>
      <c r="H185" s="1776" t="s">
        <v>22</v>
      </c>
      <c r="I185" s="1776" t="s">
        <v>806</v>
      </c>
    </row>
    <row r="186" spans="1:9" ht="11.25" customHeight="1">
      <c r="A186" s="1776" t="s">
        <v>2244</v>
      </c>
      <c r="B186" s="1776" t="s">
        <v>16</v>
      </c>
      <c r="C186" s="1776" t="s">
        <v>2877</v>
      </c>
      <c r="D186" s="1776" t="s">
        <v>2878</v>
      </c>
      <c r="E186" s="1776" t="s">
        <v>2879</v>
      </c>
      <c r="F186" s="1776" t="s">
        <v>2491</v>
      </c>
      <c r="G186" s="1776" t="s">
        <v>2880</v>
      </c>
      <c r="H186" s="1776" t="s">
        <v>22</v>
      </c>
      <c r="I186" s="1776" t="s">
        <v>806</v>
      </c>
    </row>
    <row r="187" spans="1:9" ht="11.25" customHeight="1">
      <c r="A187" s="1776" t="s">
        <v>2244</v>
      </c>
      <c r="B187" s="1776" t="s">
        <v>16</v>
      </c>
      <c r="C187" s="1776" t="s">
        <v>2881</v>
      </c>
      <c r="D187" s="1776" t="s">
        <v>2882</v>
      </c>
      <c r="E187" s="1776" t="s">
        <v>2883</v>
      </c>
      <c r="F187" s="1776" t="s">
        <v>2835</v>
      </c>
      <c r="G187" s="1776" t="s">
        <v>22</v>
      </c>
      <c r="H187" s="1776" t="s">
        <v>22</v>
      </c>
      <c r="I187" s="1776" t="s">
        <v>806</v>
      </c>
    </row>
    <row r="188" spans="1:9" ht="11.25" customHeight="1">
      <c r="A188" s="1776" t="s">
        <v>2244</v>
      </c>
      <c r="B188" s="1776" t="s">
        <v>16</v>
      </c>
      <c r="C188" s="1776" t="s">
        <v>2884</v>
      </c>
      <c r="D188" s="1776" t="s">
        <v>2885</v>
      </c>
      <c r="E188" s="1776" t="s">
        <v>2886</v>
      </c>
      <c r="F188" s="1776" t="s">
        <v>2887</v>
      </c>
      <c r="G188" s="1776" t="s">
        <v>22</v>
      </c>
      <c r="H188" s="1776" t="s">
        <v>22</v>
      </c>
      <c r="I188" s="1776" t="s">
        <v>806</v>
      </c>
    </row>
    <row r="189" spans="1:9" ht="11.25" customHeight="1">
      <c r="A189" s="1776" t="s">
        <v>2244</v>
      </c>
      <c r="B189" s="1776" t="s">
        <v>16</v>
      </c>
      <c r="C189" s="1776" t="s">
        <v>2888</v>
      </c>
      <c r="D189" s="1776" t="s">
        <v>2889</v>
      </c>
      <c r="E189" s="1776" t="s">
        <v>2890</v>
      </c>
      <c r="F189" s="1776" t="s">
        <v>2835</v>
      </c>
      <c r="G189" s="1776" t="s">
        <v>22</v>
      </c>
      <c r="H189" s="1776" t="s">
        <v>22</v>
      </c>
      <c r="I189" s="1776" t="s">
        <v>806</v>
      </c>
    </row>
    <row r="190" spans="1:9" ht="11.25" customHeight="1">
      <c r="A190" s="1776" t="s">
        <v>2244</v>
      </c>
      <c r="B190" s="1776" t="s">
        <v>16</v>
      </c>
      <c r="C190" s="1776" t="s">
        <v>2891</v>
      </c>
      <c r="D190" s="1776" t="s">
        <v>2892</v>
      </c>
      <c r="E190" s="1776" t="s">
        <v>2893</v>
      </c>
      <c r="F190" s="1776" t="s">
        <v>2631</v>
      </c>
      <c r="G190" s="1776" t="s">
        <v>2894</v>
      </c>
      <c r="H190" s="1776" t="s">
        <v>2895</v>
      </c>
      <c r="I190" s="1776" t="s">
        <v>806</v>
      </c>
    </row>
    <row r="191" spans="1:9" ht="11.25" customHeight="1">
      <c r="A191" s="1776" t="s">
        <v>2244</v>
      </c>
      <c r="B191" s="1776" t="s">
        <v>16</v>
      </c>
      <c r="C191" s="1776" t="s">
        <v>2896</v>
      </c>
      <c r="D191" s="1776" t="s">
        <v>2897</v>
      </c>
      <c r="E191" s="1776" t="s">
        <v>2898</v>
      </c>
      <c r="F191" s="1776" t="s">
        <v>2491</v>
      </c>
      <c r="G191" s="1776" t="s">
        <v>2899</v>
      </c>
      <c r="H191" s="1776" t="s">
        <v>22</v>
      </c>
      <c r="I191" s="1776" t="s">
        <v>806</v>
      </c>
    </row>
    <row r="192" spans="1:9" ht="11.25" customHeight="1">
      <c r="A192" s="1776" t="s">
        <v>2244</v>
      </c>
      <c r="B192" s="1776" t="s">
        <v>16</v>
      </c>
      <c r="C192" s="1776" t="s">
        <v>2900</v>
      </c>
      <c r="D192" s="1776" t="s">
        <v>2901</v>
      </c>
      <c r="E192" s="1776" t="s">
        <v>2902</v>
      </c>
      <c r="F192" s="1776" t="s">
        <v>2252</v>
      </c>
      <c r="G192" s="1776" t="s">
        <v>22</v>
      </c>
      <c r="H192" s="1776" t="s">
        <v>22</v>
      </c>
      <c r="I192" s="1776" t="s">
        <v>806</v>
      </c>
    </row>
    <row r="193" spans="1:9" ht="11.25" customHeight="1">
      <c r="A193" s="1776" t="s">
        <v>2244</v>
      </c>
      <c r="B193" s="1776" t="s">
        <v>16</v>
      </c>
      <c r="C193" s="1776" t="s">
        <v>2903</v>
      </c>
      <c r="D193" s="1776" t="s">
        <v>2904</v>
      </c>
      <c r="E193" s="1776" t="s">
        <v>2905</v>
      </c>
      <c r="F193" s="1776" t="s">
        <v>2252</v>
      </c>
      <c r="G193" s="1776" t="s">
        <v>22</v>
      </c>
      <c r="H193" s="1776" t="s">
        <v>22</v>
      </c>
      <c r="I193" s="1776" t="s">
        <v>806</v>
      </c>
    </row>
    <row r="194" spans="1:9" ht="11.25" customHeight="1">
      <c r="A194" s="1776" t="s">
        <v>2244</v>
      </c>
      <c r="B194" s="1776" t="s">
        <v>16</v>
      </c>
      <c r="C194" s="1776" t="s">
        <v>2906</v>
      </c>
      <c r="D194" s="1776" t="s">
        <v>2907</v>
      </c>
      <c r="E194" s="1776" t="s">
        <v>2486</v>
      </c>
      <c r="F194" s="1776" t="s">
        <v>2550</v>
      </c>
      <c r="G194" s="1776" t="s">
        <v>22</v>
      </c>
      <c r="H194" s="1776" t="s">
        <v>22</v>
      </c>
      <c r="I194" s="1776" t="s">
        <v>806</v>
      </c>
    </row>
    <row r="195" spans="1:9" ht="11.25" customHeight="1">
      <c r="A195" s="1776" t="s">
        <v>2244</v>
      </c>
      <c r="B195" s="1776" t="s">
        <v>16</v>
      </c>
      <c r="C195" s="1776" t="s">
        <v>2908</v>
      </c>
      <c r="D195" s="1776" t="s">
        <v>2909</v>
      </c>
      <c r="E195" s="1776" t="s">
        <v>2910</v>
      </c>
      <c r="F195" s="1776" t="s">
        <v>2911</v>
      </c>
      <c r="G195" s="1776" t="s">
        <v>22</v>
      </c>
      <c r="H195" s="1776" t="s">
        <v>22</v>
      </c>
      <c r="I195" s="1776" t="s">
        <v>806</v>
      </c>
    </row>
    <row r="196" spans="1:9" ht="11.25" customHeight="1">
      <c r="A196" s="1776" t="s">
        <v>2244</v>
      </c>
      <c r="B196" s="1776" t="s">
        <v>16</v>
      </c>
      <c r="C196" s="1776" t="s">
        <v>2912</v>
      </c>
      <c r="D196" s="1776" t="s">
        <v>2913</v>
      </c>
      <c r="E196" s="1776" t="s">
        <v>2910</v>
      </c>
      <c r="F196" s="1776" t="s">
        <v>2914</v>
      </c>
      <c r="G196" s="1776" t="s">
        <v>22</v>
      </c>
      <c r="H196" s="1776" t="s">
        <v>22</v>
      </c>
      <c r="I196" s="1776" t="s">
        <v>806</v>
      </c>
    </row>
    <row r="197" spans="1:9" ht="11.25" customHeight="1">
      <c r="A197" s="1776" t="s">
        <v>2244</v>
      </c>
      <c r="B197" s="1776" t="s">
        <v>16</v>
      </c>
      <c r="C197" s="1776" t="s">
        <v>2915</v>
      </c>
      <c r="D197" s="1776" t="s">
        <v>2916</v>
      </c>
      <c r="E197" s="1776" t="s">
        <v>2917</v>
      </c>
      <c r="F197" s="1776" t="s">
        <v>2491</v>
      </c>
      <c r="G197" s="1776" t="s">
        <v>22</v>
      </c>
      <c r="H197" s="1776" t="s">
        <v>22</v>
      </c>
      <c r="I197" s="1776" t="s">
        <v>806</v>
      </c>
    </row>
    <row r="198" spans="1:9" ht="11.25" customHeight="1">
      <c r="A198" s="1776" t="s">
        <v>2244</v>
      </c>
      <c r="B198" s="1776" t="s">
        <v>16</v>
      </c>
      <c r="C198" s="1776" t="s">
        <v>2918</v>
      </c>
      <c r="D198" s="1776" t="s">
        <v>2919</v>
      </c>
      <c r="E198" s="1776" t="s">
        <v>2920</v>
      </c>
      <c r="F198" s="1776" t="s">
        <v>2550</v>
      </c>
      <c r="G198" s="1776" t="s">
        <v>22</v>
      </c>
      <c r="H198" s="1776" t="s">
        <v>22</v>
      </c>
      <c r="I198" s="1776" t="s">
        <v>806</v>
      </c>
    </row>
    <row r="199" spans="1:9" ht="11.25" customHeight="1">
      <c r="A199" s="1776" t="s">
        <v>2244</v>
      </c>
      <c r="B199" s="1776" t="s">
        <v>16</v>
      </c>
      <c r="C199" s="1776" t="s">
        <v>2921</v>
      </c>
      <c r="D199" s="1776" t="s">
        <v>2922</v>
      </c>
      <c r="E199" s="1776" t="s">
        <v>2923</v>
      </c>
      <c r="F199" s="1776" t="s">
        <v>2473</v>
      </c>
      <c r="G199" s="1776" t="s">
        <v>22</v>
      </c>
      <c r="H199" s="1776" t="s">
        <v>22</v>
      </c>
      <c r="I199" s="1776" t="s">
        <v>806</v>
      </c>
    </row>
    <row r="200" spans="1:9" ht="11.25" customHeight="1">
      <c r="A200" s="1776" t="s">
        <v>2244</v>
      </c>
      <c r="B200" s="1776" t="s">
        <v>16</v>
      </c>
      <c r="C200" s="1776" t="s">
        <v>2924</v>
      </c>
      <c r="D200" s="1776" t="s">
        <v>2925</v>
      </c>
      <c r="E200" s="1776" t="s">
        <v>2926</v>
      </c>
      <c r="F200" s="1776" t="s">
        <v>2534</v>
      </c>
      <c r="G200" s="1776" t="s">
        <v>22</v>
      </c>
      <c r="H200" s="1776" t="s">
        <v>22</v>
      </c>
      <c r="I200" s="1776" t="s">
        <v>806</v>
      </c>
    </row>
    <row r="201" spans="1:9" ht="11.25" customHeight="1">
      <c r="A201" s="1776" t="s">
        <v>2244</v>
      </c>
      <c r="B201" s="1776" t="s">
        <v>16</v>
      </c>
      <c r="C201" s="1776" t="s">
        <v>2927</v>
      </c>
      <c r="D201" s="1776" t="s">
        <v>2928</v>
      </c>
      <c r="E201" s="1776" t="s">
        <v>2929</v>
      </c>
      <c r="F201" s="1776" t="s">
        <v>2930</v>
      </c>
      <c r="G201" s="1776" t="s">
        <v>22</v>
      </c>
      <c r="H201" s="1776" t="s">
        <v>22</v>
      </c>
      <c r="I201" s="1776" t="s">
        <v>806</v>
      </c>
    </row>
    <row r="202" spans="1:9" ht="11.25" customHeight="1">
      <c r="A202" s="1776" t="s">
        <v>2244</v>
      </c>
      <c r="B202" s="1776" t="s">
        <v>16</v>
      </c>
      <c r="C202" s="1776" t="s">
        <v>2931</v>
      </c>
      <c r="D202" s="1776" t="s">
        <v>2932</v>
      </c>
      <c r="E202" s="1776" t="s">
        <v>2933</v>
      </c>
      <c r="F202" s="1776" t="s">
        <v>2257</v>
      </c>
      <c r="G202" s="1776" t="s">
        <v>22</v>
      </c>
      <c r="H202" s="1776" t="s">
        <v>22</v>
      </c>
      <c r="I202" s="1776" t="s">
        <v>806</v>
      </c>
    </row>
    <row r="203" spans="1:9" ht="11.25" customHeight="1">
      <c r="A203" s="1776" t="s">
        <v>2244</v>
      </c>
      <c r="B203" s="1776" t="s">
        <v>16</v>
      </c>
      <c r="C203" s="1776" t="s">
        <v>2934</v>
      </c>
      <c r="D203" s="1776" t="s">
        <v>2935</v>
      </c>
      <c r="E203" s="1776" t="s">
        <v>2423</v>
      </c>
      <c r="F203" s="1776" t="s">
        <v>2936</v>
      </c>
      <c r="G203" s="1776" t="s">
        <v>22</v>
      </c>
      <c r="H203" s="1776" t="s">
        <v>22</v>
      </c>
      <c r="I203" s="1776" t="s">
        <v>806</v>
      </c>
    </row>
    <row r="204" spans="1:9" ht="11.25" customHeight="1">
      <c r="A204" s="1776" t="s">
        <v>2244</v>
      </c>
      <c r="B204" s="1776" t="s">
        <v>16</v>
      </c>
      <c r="C204" s="1776" t="s">
        <v>2937</v>
      </c>
      <c r="D204" s="1776" t="s">
        <v>2938</v>
      </c>
      <c r="E204" s="1776" t="s">
        <v>2939</v>
      </c>
      <c r="F204" s="1776" t="s">
        <v>2550</v>
      </c>
      <c r="G204" s="1776" t="s">
        <v>22</v>
      </c>
      <c r="H204" s="1776" t="s">
        <v>22</v>
      </c>
      <c r="I204" s="1776" t="s">
        <v>806</v>
      </c>
    </row>
    <row r="205" spans="1:9" ht="11.25" customHeight="1">
      <c r="A205" s="1776" t="s">
        <v>2244</v>
      </c>
      <c r="B205" s="1776" t="s">
        <v>16</v>
      </c>
      <c r="C205" s="1776" t="s">
        <v>2940</v>
      </c>
      <c r="D205" s="1776" t="s">
        <v>2941</v>
      </c>
      <c r="E205" s="1776" t="s">
        <v>2942</v>
      </c>
      <c r="F205" s="1776" t="s">
        <v>2323</v>
      </c>
      <c r="G205" s="1776" t="s">
        <v>22</v>
      </c>
      <c r="H205" s="1776" t="s">
        <v>22</v>
      </c>
      <c r="I205" s="1776" t="s">
        <v>806</v>
      </c>
    </row>
    <row r="206" spans="1:9" ht="11.25" customHeight="1">
      <c r="A206" s="1776" t="s">
        <v>2244</v>
      </c>
      <c r="B206" s="1776" t="s">
        <v>16</v>
      </c>
      <c r="C206" s="1776" t="s">
        <v>2943</v>
      </c>
      <c r="D206" s="1776" t="s">
        <v>2944</v>
      </c>
      <c r="E206" s="1776" t="s">
        <v>2945</v>
      </c>
      <c r="F206" s="1776" t="s">
        <v>2257</v>
      </c>
      <c r="G206" s="1776" t="s">
        <v>22</v>
      </c>
      <c r="H206" s="1776" t="s">
        <v>22</v>
      </c>
      <c r="I206" s="1776" t="s">
        <v>806</v>
      </c>
    </row>
    <row r="207" spans="1:9" ht="11.25" customHeight="1">
      <c r="A207" s="1776" t="s">
        <v>2244</v>
      </c>
      <c r="B207" s="1776" t="s">
        <v>16</v>
      </c>
      <c r="C207" s="1776" t="s">
        <v>2946</v>
      </c>
      <c r="D207" s="1776" t="s">
        <v>2947</v>
      </c>
      <c r="E207" s="1776" t="s">
        <v>2948</v>
      </c>
      <c r="F207" s="1776" t="s">
        <v>2309</v>
      </c>
      <c r="G207" s="1776" t="s">
        <v>22</v>
      </c>
      <c r="H207" s="1776" t="s">
        <v>22</v>
      </c>
      <c r="I207" s="1776" t="s">
        <v>806</v>
      </c>
    </row>
    <row r="208" spans="1:9" ht="11.25" customHeight="1">
      <c r="A208" s="1776" t="s">
        <v>2244</v>
      </c>
      <c r="B208" s="1776" t="s">
        <v>16</v>
      </c>
      <c r="C208" s="1776" t="s">
        <v>2949</v>
      </c>
      <c r="D208" s="1776" t="s">
        <v>2950</v>
      </c>
      <c r="E208" s="1776" t="s">
        <v>2951</v>
      </c>
      <c r="F208" s="1776" t="s">
        <v>2323</v>
      </c>
      <c r="G208" s="1776" t="s">
        <v>22</v>
      </c>
      <c r="H208" s="1776" t="s">
        <v>22</v>
      </c>
      <c r="I208" s="1776" t="s">
        <v>806</v>
      </c>
    </row>
    <row r="209" spans="1:9" ht="11.25" customHeight="1">
      <c r="A209" s="1776" t="s">
        <v>2244</v>
      </c>
      <c r="B209" s="1776" t="s">
        <v>16</v>
      </c>
      <c r="C209" s="1776" t="s">
        <v>2952</v>
      </c>
      <c r="D209" s="1776" t="s">
        <v>2953</v>
      </c>
      <c r="E209" s="1776" t="s">
        <v>2954</v>
      </c>
      <c r="F209" s="1776" t="s">
        <v>2368</v>
      </c>
      <c r="G209" s="1776" t="s">
        <v>22</v>
      </c>
      <c r="H209" s="1776" t="s">
        <v>22</v>
      </c>
      <c r="I209" s="1776" t="s">
        <v>806</v>
      </c>
    </row>
    <row r="210" spans="1:9" ht="11.25" customHeight="1">
      <c r="A210" s="1776" t="s">
        <v>2244</v>
      </c>
      <c r="B210" s="1776" t="s">
        <v>16</v>
      </c>
      <c r="C210" s="1776" t="s">
        <v>2955</v>
      </c>
      <c r="D210" s="1776" t="s">
        <v>2956</v>
      </c>
      <c r="E210" s="1776" t="s">
        <v>2957</v>
      </c>
      <c r="F210" s="1776" t="s">
        <v>2527</v>
      </c>
      <c r="G210" s="1776" t="s">
        <v>22</v>
      </c>
      <c r="H210" s="1776" t="s">
        <v>2958</v>
      </c>
      <c r="I210" s="1776" t="s">
        <v>806</v>
      </c>
    </row>
    <row r="211" spans="1:9" ht="11.25" customHeight="1">
      <c r="A211" s="1776" t="s">
        <v>2244</v>
      </c>
      <c r="B211" s="1776" t="s">
        <v>16</v>
      </c>
      <c r="C211" s="1776" t="s">
        <v>2959</v>
      </c>
      <c r="D211" s="1776" t="s">
        <v>2960</v>
      </c>
      <c r="E211" s="1776" t="s">
        <v>2961</v>
      </c>
      <c r="F211" s="1776" t="s">
        <v>2962</v>
      </c>
      <c r="G211" s="1776" t="s">
        <v>22</v>
      </c>
      <c r="H211" s="1776" t="s">
        <v>22</v>
      </c>
      <c r="I211" s="1776" t="s">
        <v>806</v>
      </c>
    </row>
    <row r="212" spans="1:9" ht="11.25" customHeight="1">
      <c r="A212" s="1776" t="s">
        <v>2244</v>
      </c>
      <c r="B212" s="1776" t="s">
        <v>16</v>
      </c>
      <c r="C212" s="1776" t="s">
        <v>2963</v>
      </c>
      <c r="D212" s="1776" t="s">
        <v>2964</v>
      </c>
      <c r="E212" s="1776" t="s">
        <v>2965</v>
      </c>
      <c r="F212" s="1776" t="s">
        <v>2701</v>
      </c>
      <c r="G212" s="1776" t="s">
        <v>22</v>
      </c>
      <c r="H212" s="1776" t="s">
        <v>22</v>
      </c>
      <c r="I212" s="1776" t="s">
        <v>806</v>
      </c>
    </row>
    <row r="213" spans="1:9" ht="11.25" customHeight="1">
      <c r="A213" s="1776" t="s">
        <v>2244</v>
      </c>
      <c r="B213" s="1776" t="s">
        <v>16</v>
      </c>
      <c r="C213" s="1776" t="s">
        <v>2966</v>
      </c>
      <c r="D213" s="1776" t="s">
        <v>2967</v>
      </c>
      <c r="E213" s="1776" t="s">
        <v>2968</v>
      </c>
      <c r="F213" s="1776" t="s">
        <v>2344</v>
      </c>
      <c r="G213" s="1776" t="s">
        <v>22</v>
      </c>
      <c r="H213" s="1776" t="s">
        <v>22</v>
      </c>
      <c r="I213" s="1776" t="s">
        <v>806</v>
      </c>
    </row>
    <row r="214" spans="1:9" ht="11.25" customHeight="1">
      <c r="A214" s="1776" t="s">
        <v>2244</v>
      </c>
      <c r="B214" s="1776" t="s">
        <v>16</v>
      </c>
      <c r="C214" s="1776" t="s">
        <v>2969</v>
      </c>
      <c r="D214" s="1776" t="s">
        <v>2970</v>
      </c>
      <c r="E214" s="1776" t="s">
        <v>2971</v>
      </c>
      <c r="F214" s="1776" t="s">
        <v>2302</v>
      </c>
      <c r="G214" s="1776" t="s">
        <v>22</v>
      </c>
      <c r="H214" s="1776" t="s">
        <v>22</v>
      </c>
      <c r="I214" s="1776" t="s">
        <v>806</v>
      </c>
    </row>
    <row r="215" spans="1:9" ht="11.25" customHeight="1">
      <c r="A215" s="1776" t="s">
        <v>2244</v>
      </c>
      <c r="B215" s="1776" t="s">
        <v>16</v>
      </c>
      <c r="C215" s="1776" t="s">
        <v>2972</v>
      </c>
      <c r="D215" s="1776" t="s">
        <v>2973</v>
      </c>
      <c r="E215" s="1776" t="s">
        <v>2974</v>
      </c>
      <c r="F215" s="1776" t="s">
        <v>2276</v>
      </c>
      <c r="G215" s="1776" t="s">
        <v>22</v>
      </c>
      <c r="H215" s="1776" t="s">
        <v>22</v>
      </c>
      <c r="I215" s="1776" t="s">
        <v>806</v>
      </c>
    </row>
    <row r="216" spans="1:9" ht="11.25" customHeight="1">
      <c r="A216" s="1776" t="s">
        <v>2244</v>
      </c>
      <c r="B216" s="1776" t="s">
        <v>16</v>
      </c>
      <c r="C216" s="1776" t="s">
        <v>2975</v>
      </c>
      <c r="D216" s="1776" t="s">
        <v>2976</v>
      </c>
      <c r="E216" s="1776" t="s">
        <v>2977</v>
      </c>
      <c r="F216" s="1776" t="s">
        <v>2368</v>
      </c>
      <c r="G216" s="1776" t="s">
        <v>22</v>
      </c>
      <c r="H216" s="1776" t="s">
        <v>22</v>
      </c>
      <c r="I216" s="1776" t="s">
        <v>806</v>
      </c>
    </row>
    <row r="217" spans="1:9" ht="11.25" customHeight="1">
      <c r="A217" s="1776" t="s">
        <v>2244</v>
      </c>
      <c r="B217" s="1776" t="s">
        <v>16</v>
      </c>
      <c r="C217" s="1776" t="s">
        <v>2978</v>
      </c>
      <c r="D217" s="1776" t="s">
        <v>2979</v>
      </c>
      <c r="E217" s="1776" t="s">
        <v>2980</v>
      </c>
      <c r="F217" s="1776" t="s">
        <v>2679</v>
      </c>
      <c r="G217" s="1776" t="s">
        <v>22</v>
      </c>
      <c r="H217" s="1776" t="s">
        <v>22</v>
      </c>
      <c r="I217" s="1776" t="s">
        <v>806</v>
      </c>
    </row>
    <row r="218" spans="1:9" ht="11.25" customHeight="1">
      <c r="A218" s="1776" t="s">
        <v>2244</v>
      </c>
      <c r="B218" s="1776" t="s">
        <v>16</v>
      </c>
      <c r="C218" s="1776" t="s">
        <v>2981</v>
      </c>
      <c r="D218" s="1776" t="s">
        <v>2982</v>
      </c>
      <c r="E218" s="1776" t="s">
        <v>2983</v>
      </c>
      <c r="F218" s="1776" t="s">
        <v>2302</v>
      </c>
      <c r="G218" s="1776" t="s">
        <v>22</v>
      </c>
      <c r="H218" s="1776" t="s">
        <v>22</v>
      </c>
      <c r="I218" s="1776" t="s">
        <v>806</v>
      </c>
    </row>
    <row r="219" spans="1:9" ht="11.25" customHeight="1">
      <c r="A219" s="1776" t="s">
        <v>2244</v>
      </c>
      <c r="B219" s="1776" t="s">
        <v>16</v>
      </c>
      <c r="C219" s="1776" t="s">
        <v>2984</v>
      </c>
      <c r="D219" s="1776" t="s">
        <v>2985</v>
      </c>
      <c r="E219" s="1776" t="s">
        <v>2986</v>
      </c>
      <c r="F219" s="1776" t="s">
        <v>2659</v>
      </c>
      <c r="G219" s="1776" t="s">
        <v>22</v>
      </c>
      <c r="H219" s="1776" t="s">
        <v>22</v>
      </c>
      <c r="I219" s="1776" t="s">
        <v>806</v>
      </c>
    </row>
    <row r="220" spans="1:9" ht="11.25" customHeight="1">
      <c r="A220" s="1776" t="s">
        <v>2244</v>
      </c>
      <c r="B220" s="1776" t="s">
        <v>16</v>
      </c>
      <c r="C220" s="1776" t="s">
        <v>2987</v>
      </c>
      <c r="D220" s="1776" t="s">
        <v>2988</v>
      </c>
      <c r="E220" s="1776" t="s">
        <v>2559</v>
      </c>
      <c r="F220" s="1776" t="s">
        <v>2989</v>
      </c>
      <c r="G220" s="1776" t="s">
        <v>22</v>
      </c>
      <c r="H220" s="1776" t="s">
        <v>22</v>
      </c>
      <c r="I220" s="1776" t="s">
        <v>806</v>
      </c>
    </row>
    <row r="221" spans="1:9" ht="11.25" customHeight="1">
      <c r="A221" s="1776" t="s">
        <v>2244</v>
      </c>
      <c r="B221" s="1776" t="s">
        <v>16</v>
      </c>
      <c r="C221" s="1776" t="s">
        <v>2990</v>
      </c>
      <c r="D221" s="1776" t="s">
        <v>2991</v>
      </c>
      <c r="E221" s="1776" t="s">
        <v>2992</v>
      </c>
      <c r="F221" s="1776" t="s">
        <v>2473</v>
      </c>
      <c r="G221" s="1776" t="s">
        <v>22</v>
      </c>
      <c r="H221" s="1776" t="s">
        <v>22</v>
      </c>
      <c r="I221" s="1776" t="s">
        <v>806</v>
      </c>
    </row>
    <row r="222" spans="1:9" ht="11.25" customHeight="1">
      <c r="A222" s="1776" t="s">
        <v>2244</v>
      </c>
      <c r="B222" s="1776" t="s">
        <v>16</v>
      </c>
      <c r="C222" s="1776" t="s">
        <v>2993</v>
      </c>
      <c r="D222" s="1776" t="s">
        <v>2994</v>
      </c>
      <c r="E222" s="1776" t="s">
        <v>2995</v>
      </c>
      <c r="F222" s="1776" t="s">
        <v>2266</v>
      </c>
      <c r="G222" s="1776" t="s">
        <v>22</v>
      </c>
      <c r="H222" s="1776" t="s">
        <v>22</v>
      </c>
      <c r="I222" s="1776" t="s">
        <v>806</v>
      </c>
    </row>
    <row r="223" spans="1:9" ht="11.25" customHeight="1">
      <c r="A223" s="1776" t="s">
        <v>2244</v>
      </c>
      <c r="B223" s="1776" t="s">
        <v>16</v>
      </c>
      <c r="C223" s="1776" t="s">
        <v>2996</v>
      </c>
      <c r="D223" s="1776" t="s">
        <v>2997</v>
      </c>
      <c r="E223" s="1776" t="s">
        <v>2998</v>
      </c>
      <c r="F223" s="1776" t="s">
        <v>2323</v>
      </c>
      <c r="G223" s="1776" t="s">
        <v>22</v>
      </c>
      <c r="H223" s="1776" t="s">
        <v>22</v>
      </c>
      <c r="I223" s="1776" t="s">
        <v>806</v>
      </c>
    </row>
    <row r="224" spans="1:9" ht="11.25" customHeight="1">
      <c r="A224" s="1776" t="s">
        <v>2244</v>
      </c>
      <c r="B224" s="1776" t="s">
        <v>16</v>
      </c>
      <c r="C224" s="1776" t="s">
        <v>2999</v>
      </c>
      <c r="D224" s="1776" t="s">
        <v>3000</v>
      </c>
      <c r="E224" s="1776" t="s">
        <v>3001</v>
      </c>
      <c r="F224" s="1776" t="s">
        <v>2252</v>
      </c>
      <c r="G224" s="1776" t="s">
        <v>22</v>
      </c>
      <c r="H224" s="1776" t="s">
        <v>22</v>
      </c>
      <c r="I224" s="1776" t="s">
        <v>806</v>
      </c>
    </row>
    <row r="225" spans="1:9" ht="11.25" customHeight="1">
      <c r="A225" s="1776" t="s">
        <v>2244</v>
      </c>
      <c r="B225" s="1776" t="s">
        <v>16</v>
      </c>
      <c r="C225" s="1776" t="s">
        <v>3002</v>
      </c>
      <c r="D225" s="1776" t="s">
        <v>3003</v>
      </c>
      <c r="E225" s="1776" t="s">
        <v>3004</v>
      </c>
      <c r="F225" s="1776" t="s">
        <v>2511</v>
      </c>
      <c r="G225" s="1776" t="s">
        <v>22</v>
      </c>
      <c r="H225" s="1776" t="s">
        <v>22</v>
      </c>
      <c r="I225" s="1776" t="s">
        <v>806</v>
      </c>
    </row>
    <row r="226" spans="1:9" ht="11.25" customHeight="1">
      <c r="A226" s="1776" t="s">
        <v>2244</v>
      </c>
      <c r="B226" s="1776" t="s">
        <v>16</v>
      </c>
      <c r="C226" s="1776" t="s">
        <v>3005</v>
      </c>
      <c r="D226" s="1776" t="s">
        <v>3006</v>
      </c>
      <c r="E226" s="1776" t="s">
        <v>3007</v>
      </c>
      <c r="F226" s="1776" t="s">
        <v>3008</v>
      </c>
      <c r="G226" s="1776" t="s">
        <v>22</v>
      </c>
      <c r="H226" s="1776" t="s">
        <v>22</v>
      </c>
      <c r="I226" s="1776" t="s">
        <v>806</v>
      </c>
    </row>
    <row r="227" spans="1:9" ht="11.25" customHeight="1">
      <c r="A227" s="1776" t="s">
        <v>2244</v>
      </c>
      <c r="B227" s="1776" t="s">
        <v>16</v>
      </c>
      <c r="C227" s="1776" t="s">
        <v>3009</v>
      </c>
      <c r="D227" s="1776" t="s">
        <v>3010</v>
      </c>
      <c r="E227" s="1776" t="s">
        <v>3011</v>
      </c>
      <c r="F227" s="1776" t="s">
        <v>2323</v>
      </c>
      <c r="G227" s="1776" t="s">
        <v>22</v>
      </c>
      <c r="H227" s="1776" t="s">
        <v>22</v>
      </c>
      <c r="I227" s="1776" t="s">
        <v>806</v>
      </c>
    </row>
    <row r="228" spans="1:9" ht="11.25" customHeight="1">
      <c r="A228" s="1776" t="s">
        <v>2244</v>
      </c>
      <c r="B228" s="1776" t="s">
        <v>16</v>
      </c>
      <c r="C228" s="1776" t="s">
        <v>3012</v>
      </c>
      <c r="D228" s="1776" t="s">
        <v>3013</v>
      </c>
      <c r="E228" s="1776" t="s">
        <v>3014</v>
      </c>
      <c r="F228" s="1776" t="s">
        <v>2962</v>
      </c>
      <c r="G228" s="1776" t="s">
        <v>22</v>
      </c>
      <c r="H228" s="1776" t="s">
        <v>22</v>
      </c>
      <c r="I228" s="1776" t="s">
        <v>806</v>
      </c>
    </row>
    <row r="229" spans="1:9" ht="11.25" customHeight="1">
      <c r="A229" s="1776" t="s">
        <v>2244</v>
      </c>
      <c r="B229" s="1776" t="s">
        <v>16</v>
      </c>
      <c r="C229" s="1776" t="s">
        <v>3015</v>
      </c>
      <c r="D229" s="1776" t="s">
        <v>3016</v>
      </c>
      <c r="E229" s="1776" t="s">
        <v>3017</v>
      </c>
      <c r="F229" s="1776" t="s">
        <v>2550</v>
      </c>
      <c r="G229" s="1776" t="s">
        <v>22</v>
      </c>
      <c r="H229" s="1776" t="s">
        <v>22</v>
      </c>
      <c r="I229" s="1776" t="s">
        <v>806</v>
      </c>
    </row>
    <row r="230" spans="1:9" ht="11.25" customHeight="1">
      <c r="A230" s="1776" t="s">
        <v>2244</v>
      </c>
      <c r="B230" s="1776" t="s">
        <v>16</v>
      </c>
      <c r="C230" s="1776" t="s">
        <v>3018</v>
      </c>
      <c r="D230" s="1776" t="s">
        <v>3019</v>
      </c>
      <c r="E230" s="1776" t="s">
        <v>3020</v>
      </c>
      <c r="F230" s="1776" t="s">
        <v>2287</v>
      </c>
      <c r="G230" s="1776" t="s">
        <v>22</v>
      </c>
      <c r="H230" s="1776" t="s">
        <v>22</v>
      </c>
      <c r="I230" s="1776" t="s">
        <v>806</v>
      </c>
    </row>
    <row r="231" spans="1:9" ht="11.25" customHeight="1">
      <c r="A231" s="1776" t="s">
        <v>2244</v>
      </c>
      <c r="B231" s="1776" t="s">
        <v>16</v>
      </c>
      <c r="C231" s="1776" t="s">
        <v>3021</v>
      </c>
      <c r="D231" s="1776" t="s">
        <v>3022</v>
      </c>
      <c r="E231" s="1776" t="s">
        <v>3023</v>
      </c>
      <c r="F231" s="1776" t="s">
        <v>2287</v>
      </c>
      <c r="G231" s="1776" t="s">
        <v>22</v>
      </c>
      <c r="H231" s="1776" t="s">
        <v>22</v>
      </c>
      <c r="I231" s="1776" t="s">
        <v>806</v>
      </c>
    </row>
    <row r="232" spans="1:9" ht="11.25" customHeight="1">
      <c r="A232" s="1776" t="s">
        <v>2244</v>
      </c>
      <c r="B232" s="1776" t="s">
        <v>16</v>
      </c>
      <c r="C232" s="1776" t="s">
        <v>3024</v>
      </c>
      <c r="D232" s="1776" t="s">
        <v>3025</v>
      </c>
      <c r="E232" s="1776" t="s">
        <v>3026</v>
      </c>
      <c r="F232" s="1776" t="s">
        <v>2368</v>
      </c>
      <c r="G232" s="1776" t="s">
        <v>22</v>
      </c>
      <c r="H232" s="1776" t="s">
        <v>22</v>
      </c>
      <c r="I232" s="1776" t="s">
        <v>806</v>
      </c>
    </row>
    <row r="233" spans="1:9" ht="11.25" customHeight="1">
      <c r="A233" s="1776" t="s">
        <v>2244</v>
      </c>
      <c r="B233" s="1776" t="s">
        <v>16</v>
      </c>
      <c r="C233" s="1776" t="s">
        <v>3027</v>
      </c>
      <c r="D233" s="1776" t="s">
        <v>3028</v>
      </c>
      <c r="E233" s="1776" t="s">
        <v>3029</v>
      </c>
      <c r="F233" s="1776" t="s">
        <v>2252</v>
      </c>
      <c r="G233" s="1776" t="s">
        <v>22</v>
      </c>
      <c r="H233" s="1776" t="s">
        <v>22</v>
      </c>
      <c r="I233" s="1776" t="s">
        <v>806</v>
      </c>
    </row>
    <row r="234" spans="1:9" ht="11.25" customHeight="1">
      <c r="A234" s="1776" t="s">
        <v>2244</v>
      </c>
      <c r="B234" s="1776" t="s">
        <v>16</v>
      </c>
      <c r="C234" s="1776" t="s">
        <v>3030</v>
      </c>
      <c r="D234" s="1776" t="s">
        <v>3031</v>
      </c>
      <c r="E234" s="1776" t="s">
        <v>2495</v>
      </c>
      <c r="F234" s="1776" t="s">
        <v>2266</v>
      </c>
      <c r="G234" s="1776" t="s">
        <v>22</v>
      </c>
      <c r="H234" s="1776" t="s">
        <v>22</v>
      </c>
      <c r="I234" s="1776" t="s">
        <v>806</v>
      </c>
    </row>
    <row r="235" spans="1:9" ht="11.25" customHeight="1">
      <c r="A235" s="1776" t="s">
        <v>2244</v>
      </c>
      <c r="B235" s="1776" t="s">
        <v>16</v>
      </c>
      <c r="C235" s="1776" t="s">
        <v>3032</v>
      </c>
      <c r="D235" s="1776" t="s">
        <v>3033</v>
      </c>
      <c r="E235" s="1776" t="s">
        <v>3034</v>
      </c>
      <c r="F235" s="1776" t="s">
        <v>2368</v>
      </c>
      <c r="G235" s="1776" t="s">
        <v>22</v>
      </c>
      <c r="H235" s="1776" t="s">
        <v>22</v>
      </c>
      <c r="I235" s="1776" t="s">
        <v>806</v>
      </c>
    </row>
    <row r="236" spans="1:9" ht="11.25" customHeight="1">
      <c r="A236" s="1776" t="s">
        <v>2244</v>
      </c>
      <c r="B236" s="1776" t="s">
        <v>16</v>
      </c>
      <c r="C236" s="1776" t="s">
        <v>3035</v>
      </c>
      <c r="D236" s="1776" t="s">
        <v>3036</v>
      </c>
      <c r="E236" s="1776" t="s">
        <v>3037</v>
      </c>
      <c r="F236" s="1776" t="s">
        <v>2473</v>
      </c>
      <c r="G236" s="1776" t="s">
        <v>22</v>
      </c>
      <c r="H236" s="1776" t="s">
        <v>22</v>
      </c>
      <c r="I236" s="1776" t="s">
        <v>806</v>
      </c>
    </row>
    <row r="237" spans="1:9" ht="11.25" customHeight="1">
      <c r="A237" s="1776" t="s">
        <v>2244</v>
      </c>
      <c r="B237" s="1776" t="s">
        <v>16</v>
      </c>
      <c r="C237" s="1776" t="s">
        <v>3038</v>
      </c>
      <c r="D237" s="1776" t="s">
        <v>3039</v>
      </c>
      <c r="E237" s="1776" t="s">
        <v>3040</v>
      </c>
      <c r="F237" s="1776" t="s">
        <v>2276</v>
      </c>
      <c r="G237" s="1776" t="s">
        <v>22</v>
      </c>
      <c r="H237" s="1776" t="s">
        <v>22</v>
      </c>
      <c r="I237" s="1776" t="s">
        <v>806</v>
      </c>
    </row>
    <row r="238" spans="1:9" ht="11.25" customHeight="1">
      <c r="A238" s="1776" t="s">
        <v>2244</v>
      </c>
      <c r="B238" s="1776" t="s">
        <v>16</v>
      </c>
      <c r="C238" s="1776" t="s">
        <v>3041</v>
      </c>
      <c r="D238" s="1776" t="s">
        <v>3042</v>
      </c>
      <c r="E238" s="1776" t="s">
        <v>3043</v>
      </c>
      <c r="F238" s="1776" t="s">
        <v>2276</v>
      </c>
      <c r="G238" s="1776" t="s">
        <v>22</v>
      </c>
      <c r="H238" s="1776" t="s">
        <v>22</v>
      </c>
      <c r="I238" s="1776" t="s">
        <v>806</v>
      </c>
    </row>
    <row r="239" spans="1:9" ht="11.25" customHeight="1">
      <c r="A239" s="1776" t="s">
        <v>2244</v>
      </c>
      <c r="B239" s="1776" t="s">
        <v>16</v>
      </c>
      <c r="C239" s="1776" t="s">
        <v>3044</v>
      </c>
      <c r="D239" s="1776" t="s">
        <v>3045</v>
      </c>
      <c r="E239" s="1776" t="s">
        <v>3046</v>
      </c>
      <c r="F239" s="1776" t="s">
        <v>2368</v>
      </c>
      <c r="G239" s="1776" t="s">
        <v>22</v>
      </c>
      <c r="H239" s="1776" t="s">
        <v>22</v>
      </c>
      <c r="I239" s="1776" t="s">
        <v>806</v>
      </c>
    </row>
    <row r="240" spans="1:9" ht="11.25" customHeight="1">
      <c r="A240" s="1776" t="s">
        <v>2244</v>
      </c>
      <c r="B240" s="1776" t="s">
        <v>16</v>
      </c>
      <c r="C240" s="1776" t="s">
        <v>3047</v>
      </c>
      <c r="D240" s="1776" t="s">
        <v>3045</v>
      </c>
      <c r="E240" s="1776" t="s">
        <v>3048</v>
      </c>
      <c r="F240" s="1776" t="s">
        <v>2382</v>
      </c>
      <c r="G240" s="1776" t="s">
        <v>3049</v>
      </c>
      <c r="H240" s="1776" t="s">
        <v>22</v>
      </c>
      <c r="I240" s="1776" t="s">
        <v>806</v>
      </c>
    </row>
    <row r="241" spans="1:9" ht="11.25" customHeight="1">
      <c r="A241" s="1776" t="s">
        <v>2244</v>
      </c>
      <c r="B241" s="1776" t="s">
        <v>16</v>
      </c>
      <c r="C241" s="1776" t="s">
        <v>3050</v>
      </c>
      <c r="D241" s="1776" t="s">
        <v>3051</v>
      </c>
      <c r="E241" s="1776" t="s">
        <v>3052</v>
      </c>
      <c r="F241" s="1776" t="s">
        <v>2344</v>
      </c>
      <c r="G241" s="1776" t="s">
        <v>22</v>
      </c>
      <c r="H241" s="1776" t="s">
        <v>22</v>
      </c>
      <c r="I241" s="1776" t="s">
        <v>806</v>
      </c>
    </row>
    <row r="242" spans="1:9" ht="11.25" customHeight="1">
      <c r="A242" s="1776" t="s">
        <v>2244</v>
      </c>
      <c r="B242" s="1776" t="s">
        <v>16</v>
      </c>
      <c r="C242" s="1776" t="s">
        <v>3053</v>
      </c>
      <c r="D242" s="1776" t="s">
        <v>3054</v>
      </c>
      <c r="E242" s="1776" t="s">
        <v>3055</v>
      </c>
      <c r="F242" s="1776" t="s">
        <v>2276</v>
      </c>
      <c r="G242" s="1776" t="s">
        <v>22</v>
      </c>
      <c r="H242" s="1776" t="s">
        <v>22</v>
      </c>
      <c r="I242" s="1776" t="s">
        <v>806</v>
      </c>
    </row>
    <row r="243" spans="1:9" ht="11.25" customHeight="1">
      <c r="A243" s="1776" t="s">
        <v>2244</v>
      </c>
      <c r="B243" s="1776" t="s">
        <v>16</v>
      </c>
      <c r="C243" s="1776" t="s">
        <v>3056</v>
      </c>
      <c r="D243" s="1776" t="s">
        <v>3057</v>
      </c>
      <c r="E243" s="1776" t="s">
        <v>3058</v>
      </c>
      <c r="F243" s="1776" t="s">
        <v>2276</v>
      </c>
      <c r="G243" s="1776" t="s">
        <v>22</v>
      </c>
      <c r="H243" s="1776" t="s">
        <v>22</v>
      </c>
      <c r="I243" s="1776" t="s">
        <v>806</v>
      </c>
    </row>
    <row r="244" spans="1:9" ht="11.25" customHeight="1">
      <c r="A244" s="1776" t="s">
        <v>2244</v>
      </c>
      <c r="B244" s="1776" t="s">
        <v>16</v>
      </c>
      <c r="C244" s="1776" t="s">
        <v>3059</v>
      </c>
      <c r="D244" s="1776" t="s">
        <v>3060</v>
      </c>
      <c r="E244" s="1776" t="s">
        <v>3061</v>
      </c>
      <c r="F244" s="1776" t="s">
        <v>2276</v>
      </c>
      <c r="G244" s="1776" t="s">
        <v>22</v>
      </c>
      <c r="H244" s="1776" t="s">
        <v>22</v>
      </c>
      <c r="I244" s="1776" t="s">
        <v>806</v>
      </c>
    </row>
    <row r="245" spans="1:9" ht="11.25" customHeight="1">
      <c r="A245" s="1776" t="s">
        <v>2244</v>
      </c>
      <c r="B245" s="1776" t="s">
        <v>16</v>
      </c>
      <c r="C245" s="1776" t="s">
        <v>3062</v>
      </c>
      <c r="D245" s="1776" t="s">
        <v>3063</v>
      </c>
      <c r="E245" s="1776" t="s">
        <v>3064</v>
      </c>
      <c r="F245" s="1776" t="s">
        <v>2527</v>
      </c>
      <c r="G245" s="1776" t="s">
        <v>22</v>
      </c>
      <c r="H245" s="1776" t="s">
        <v>22</v>
      </c>
      <c r="I245" s="1776" t="s">
        <v>806</v>
      </c>
    </row>
    <row r="246" spans="1:9" ht="11.25" customHeight="1">
      <c r="A246" s="1776" t="s">
        <v>2244</v>
      </c>
      <c r="B246" s="1776" t="s">
        <v>16</v>
      </c>
      <c r="C246" s="1776" t="s">
        <v>3065</v>
      </c>
      <c r="D246" s="1776" t="s">
        <v>3063</v>
      </c>
      <c r="E246" s="1776" t="s">
        <v>3066</v>
      </c>
      <c r="F246" s="1776" t="s">
        <v>2550</v>
      </c>
      <c r="G246" s="1776" t="s">
        <v>22</v>
      </c>
      <c r="H246" s="1776" t="s">
        <v>22</v>
      </c>
      <c r="I246" s="1776" t="s">
        <v>806</v>
      </c>
    </row>
    <row r="247" spans="1:9" ht="11.25" customHeight="1">
      <c r="A247" s="1776" t="s">
        <v>2244</v>
      </c>
      <c r="B247" s="1776" t="s">
        <v>16</v>
      </c>
      <c r="C247" s="1776" t="s">
        <v>3067</v>
      </c>
      <c r="D247" s="1776" t="s">
        <v>3068</v>
      </c>
      <c r="E247" s="1776" t="s">
        <v>3069</v>
      </c>
      <c r="F247" s="1776" t="s">
        <v>3070</v>
      </c>
      <c r="G247" s="1776" t="s">
        <v>22</v>
      </c>
      <c r="H247" s="1776" t="s">
        <v>22</v>
      </c>
      <c r="I247" s="1776" t="s">
        <v>806</v>
      </c>
    </row>
    <row r="248" spans="1:9" ht="11.25" customHeight="1">
      <c r="A248" s="1776" t="s">
        <v>2244</v>
      </c>
      <c r="B248" s="1776" t="s">
        <v>16</v>
      </c>
      <c r="C248" s="1776" t="s">
        <v>3071</v>
      </c>
      <c r="D248" s="1776" t="s">
        <v>3072</v>
      </c>
      <c r="E248" s="1776" t="s">
        <v>3073</v>
      </c>
      <c r="F248" s="1776" t="s">
        <v>2257</v>
      </c>
      <c r="G248" s="1776" t="s">
        <v>22</v>
      </c>
      <c r="H248" s="1776" t="s">
        <v>22</v>
      </c>
      <c r="I248" s="1776" t="s">
        <v>806</v>
      </c>
    </row>
    <row r="249" spans="1:9" ht="11.25" customHeight="1">
      <c r="A249" s="1776" t="s">
        <v>2244</v>
      </c>
      <c r="B249" s="1776" t="s">
        <v>16</v>
      </c>
      <c r="C249" s="1776" t="s">
        <v>3074</v>
      </c>
      <c r="D249" s="1776" t="s">
        <v>3075</v>
      </c>
      <c r="E249" s="1776" t="s">
        <v>3076</v>
      </c>
      <c r="F249" s="1776" t="s">
        <v>2280</v>
      </c>
      <c r="G249" s="1776" t="s">
        <v>22</v>
      </c>
      <c r="H249" s="1776" t="s">
        <v>3077</v>
      </c>
      <c r="I249" s="1776" t="s">
        <v>806</v>
      </c>
    </row>
    <row r="250" spans="1:9" ht="11.25" customHeight="1">
      <c r="A250" s="1776" t="s">
        <v>2244</v>
      </c>
      <c r="B250" s="1776" t="s">
        <v>16</v>
      </c>
      <c r="C250" s="1776" t="s">
        <v>3078</v>
      </c>
      <c r="D250" s="1776" t="s">
        <v>3079</v>
      </c>
      <c r="E250" s="1776" t="s">
        <v>3080</v>
      </c>
      <c r="F250" s="1776" t="s">
        <v>2294</v>
      </c>
      <c r="G250" s="1776" t="s">
        <v>22</v>
      </c>
      <c r="H250" s="1776" t="s">
        <v>22</v>
      </c>
      <c r="I250" s="1776" t="s">
        <v>806</v>
      </c>
    </row>
    <row r="251" spans="1:9" ht="11.25" customHeight="1">
      <c r="A251" s="1776" t="s">
        <v>2244</v>
      </c>
      <c r="B251" s="1776" t="s">
        <v>16</v>
      </c>
      <c r="C251" s="1776" t="s">
        <v>3081</v>
      </c>
      <c r="D251" s="1776" t="s">
        <v>3082</v>
      </c>
      <c r="E251" s="1776" t="s">
        <v>3083</v>
      </c>
      <c r="F251" s="1776" t="s">
        <v>2623</v>
      </c>
      <c r="G251" s="1776" t="s">
        <v>22</v>
      </c>
      <c r="H251" s="1776" t="s">
        <v>22</v>
      </c>
      <c r="I251" s="1776" t="s">
        <v>806</v>
      </c>
    </row>
    <row r="252" spans="1:9" ht="11.25" customHeight="1">
      <c r="A252" s="1776" t="s">
        <v>2244</v>
      </c>
      <c r="B252" s="1776" t="s">
        <v>16</v>
      </c>
      <c r="C252" s="1776" t="s">
        <v>3084</v>
      </c>
      <c r="D252" s="1776" t="s">
        <v>3085</v>
      </c>
      <c r="E252" s="1776" t="s">
        <v>3086</v>
      </c>
      <c r="F252" s="1776" t="s">
        <v>2257</v>
      </c>
      <c r="G252" s="1776" t="s">
        <v>3087</v>
      </c>
      <c r="H252" s="1776" t="s">
        <v>22</v>
      </c>
      <c r="I252" s="1776" t="s">
        <v>806</v>
      </c>
    </row>
    <row r="253" spans="1:9" ht="11.25" customHeight="1">
      <c r="A253" s="1776" t="s">
        <v>2244</v>
      </c>
      <c r="B253" s="1776" t="s">
        <v>16</v>
      </c>
      <c r="C253" s="1776" t="s">
        <v>3088</v>
      </c>
      <c r="D253" s="1776" t="s">
        <v>3089</v>
      </c>
      <c r="E253" s="1776" t="s">
        <v>3090</v>
      </c>
      <c r="F253" s="1776" t="s">
        <v>2534</v>
      </c>
      <c r="G253" s="1776" t="s">
        <v>22</v>
      </c>
      <c r="H253" s="1776" t="s">
        <v>22</v>
      </c>
      <c r="I253" s="1776" t="s">
        <v>806</v>
      </c>
    </row>
    <row r="254" spans="1:9" ht="11.25" customHeight="1">
      <c r="A254" s="1776" t="s">
        <v>2244</v>
      </c>
      <c r="B254" s="1776" t="s">
        <v>16</v>
      </c>
      <c r="C254" s="1776" t="s">
        <v>3091</v>
      </c>
      <c r="D254" s="1776" t="s">
        <v>3089</v>
      </c>
      <c r="E254" s="1776" t="s">
        <v>3092</v>
      </c>
      <c r="F254" s="1776" t="s">
        <v>2690</v>
      </c>
      <c r="G254" s="1776" t="s">
        <v>22</v>
      </c>
      <c r="H254" s="1776" t="s">
        <v>22</v>
      </c>
      <c r="I254" s="1776" t="s">
        <v>806</v>
      </c>
    </row>
    <row r="255" spans="1:9" ht="11.25" customHeight="1">
      <c r="A255" s="1776" t="s">
        <v>2244</v>
      </c>
      <c r="B255" s="1776" t="s">
        <v>16</v>
      </c>
      <c r="C255" s="1776" t="s">
        <v>3093</v>
      </c>
      <c r="D255" s="1776" t="s">
        <v>3094</v>
      </c>
      <c r="E255" s="1776" t="s">
        <v>3095</v>
      </c>
      <c r="F255" s="1776" t="s">
        <v>2261</v>
      </c>
      <c r="G255" s="1776" t="s">
        <v>22</v>
      </c>
      <c r="H255" s="1776" t="s">
        <v>22</v>
      </c>
      <c r="I255" s="1776" t="s">
        <v>806</v>
      </c>
    </row>
    <row r="256" spans="1:9" ht="11.25" customHeight="1">
      <c r="A256" s="1776" t="s">
        <v>2244</v>
      </c>
      <c r="B256" s="1776" t="s">
        <v>16</v>
      </c>
      <c r="C256" s="1776" t="s">
        <v>3096</v>
      </c>
      <c r="D256" s="1776" t="s">
        <v>3097</v>
      </c>
      <c r="E256" s="1776" t="s">
        <v>3098</v>
      </c>
      <c r="F256" s="1776" t="s">
        <v>2519</v>
      </c>
      <c r="G256" s="1776" t="s">
        <v>22</v>
      </c>
      <c r="H256" s="1776" t="s">
        <v>22</v>
      </c>
      <c r="I256" s="1776" t="s">
        <v>806</v>
      </c>
    </row>
    <row r="257" spans="1:9" ht="11.25" customHeight="1">
      <c r="A257" s="1776" t="s">
        <v>2244</v>
      </c>
      <c r="B257" s="1776" t="s">
        <v>16</v>
      </c>
      <c r="C257" s="1776" t="s">
        <v>3099</v>
      </c>
      <c r="D257" s="1776" t="s">
        <v>3100</v>
      </c>
      <c r="E257" s="1776" t="s">
        <v>3101</v>
      </c>
      <c r="F257" s="1776" t="s">
        <v>2252</v>
      </c>
      <c r="G257" s="1776" t="s">
        <v>22</v>
      </c>
      <c r="H257" s="1776" t="s">
        <v>22</v>
      </c>
      <c r="I257" s="1776" t="s">
        <v>806</v>
      </c>
    </row>
    <row r="258" spans="1:9" ht="11.25" customHeight="1">
      <c r="A258" s="1776" t="s">
        <v>2244</v>
      </c>
      <c r="B258" s="1776" t="s">
        <v>16</v>
      </c>
      <c r="C258" s="1776" t="s">
        <v>3102</v>
      </c>
      <c r="D258" s="1776" t="s">
        <v>3103</v>
      </c>
      <c r="E258" s="1776" t="s">
        <v>3104</v>
      </c>
      <c r="F258" s="1776" t="s">
        <v>2550</v>
      </c>
      <c r="G258" s="1776" t="s">
        <v>22</v>
      </c>
      <c r="H258" s="1776" t="s">
        <v>22</v>
      </c>
      <c r="I258" s="1776" t="s">
        <v>806</v>
      </c>
    </row>
    <row r="259" spans="1:9" ht="11.25" customHeight="1">
      <c r="A259" s="1776" t="s">
        <v>2244</v>
      </c>
      <c r="B259" s="1776" t="s">
        <v>16</v>
      </c>
      <c r="C259" s="1776" t="s">
        <v>3105</v>
      </c>
      <c r="D259" s="1776" t="s">
        <v>3106</v>
      </c>
      <c r="E259" s="1776" t="s">
        <v>3107</v>
      </c>
      <c r="F259" s="1776" t="s">
        <v>3108</v>
      </c>
      <c r="G259" s="1776" t="s">
        <v>22</v>
      </c>
      <c r="H259" s="1776" t="s">
        <v>22</v>
      </c>
      <c r="I259" s="1776" t="s">
        <v>806</v>
      </c>
    </row>
    <row r="260" spans="1:9" ht="11.25" customHeight="1">
      <c r="A260" s="1776" t="s">
        <v>2244</v>
      </c>
      <c r="B260" s="1776" t="s">
        <v>16</v>
      </c>
      <c r="C260" s="1776" t="s">
        <v>3109</v>
      </c>
      <c r="D260" s="1776" t="s">
        <v>3110</v>
      </c>
      <c r="E260" s="1776" t="s">
        <v>3111</v>
      </c>
      <c r="F260" s="1776" t="s">
        <v>2473</v>
      </c>
      <c r="G260" s="1776" t="s">
        <v>22</v>
      </c>
      <c r="H260" s="1776" t="s">
        <v>22</v>
      </c>
      <c r="I260" s="1776" t="s">
        <v>806</v>
      </c>
    </row>
    <row r="261" spans="1:9" ht="11.25" customHeight="1">
      <c r="A261" s="1776" t="s">
        <v>2244</v>
      </c>
      <c r="B261" s="1776" t="s">
        <v>16</v>
      </c>
      <c r="C261" s="1776" t="s">
        <v>3112</v>
      </c>
      <c r="D261" s="1776" t="s">
        <v>3113</v>
      </c>
      <c r="E261" s="1776" t="s">
        <v>3114</v>
      </c>
      <c r="F261" s="1776" t="s">
        <v>2313</v>
      </c>
      <c r="G261" s="1776" t="s">
        <v>22</v>
      </c>
      <c r="H261" s="1776" t="s">
        <v>22</v>
      </c>
      <c r="I261" s="1776" t="s">
        <v>806</v>
      </c>
    </row>
    <row r="262" spans="1:9" ht="11.25" customHeight="1">
      <c r="A262" s="1776" t="s">
        <v>2244</v>
      </c>
      <c r="B262" s="1776" t="s">
        <v>16</v>
      </c>
      <c r="C262" s="1776" t="s">
        <v>3115</v>
      </c>
      <c r="D262" s="1776" t="s">
        <v>3116</v>
      </c>
      <c r="E262" s="1776" t="s">
        <v>3117</v>
      </c>
      <c r="F262" s="1776" t="s">
        <v>2679</v>
      </c>
      <c r="G262" s="1776" t="s">
        <v>22</v>
      </c>
      <c r="H262" s="1776" t="s">
        <v>22</v>
      </c>
      <c r="I262" s="1776" t="s">
        <v>806</v>
      </c>
    </row>
    <row r="263" spans="1:9" ht="11.25" customHeight="1">
      <c r="A263" s="1776" t="s">
        <v>2244</v>
      </c>
      <c r="B263" s="1776" t="s">
        <v>16</v>
      </c>
      <c r="C263" s="1776" t="s">
        <v>3118</v>
      </c>
      <c r="D263" s="1776" t="s">
        <v>3119</v>
      </c>
      <c r="E263" s="1776" t="s">
        <v>3120</v>
      </c>
      <c r="F263" s="1776" t="s">
        <v>2252</v>
      </c>
      <c r="G263" s="1776" t="s">
        <v>22</v>
      </c>
      <c r="H263" s="1776" t="s">
        <v>22</v>
      </c>
      <c r="I263" s="1776" t="s">
        <v>806</v>
      </c>
    </row>
    <row r="264" spans="1:9" ht="11.25" customHeight="1">
      <c r="A264" s="1776" t="s">
        <v>2244</v>
      </c>
      <c r="B264" s="1776" t="s">
        <v>16</v>
      </c>
      <c r="C264" s="1776" t="s">
        <v>3121</v>
      </c>
      <c r="D264" s="1776" t="s">
        <v>3122</v>
      </c>
      <c r="E264" s="1776" t="s">
        <v>3123</v>
      </c>
      <c r="F264" s="1776" t="s">
        <v>2252</v>
      </c>
      <c r="G264" s="1776" t="s">
        <v>22</v>
      </c>
      <c r="H264" s="1776" t="s">
        <v>22</v>
      </c>
      <c r="I264" s="1776" t="s">
        <v>806</v>
      </c>
    </row>
    <row r="265" spans="1:9" ht="11.25" customHeight="1">
      <c r="A265" s="1776" t="s">
        <v>2244</v>
      </c>
      <c r="B265" s="1776" t="s">
        <v>16</v>
      </c>
      <c r="C265" s="1776" t="s">
        <v>3124</v>
      </c>
      <c r="D265" s="1776" t="s">
        <v>3125</v>
      </c>
      <c r="E265" s="1776" t="s">
        <v>3126</v>
      </c>
      <c r="F265" s="1776" t="s">
        <v>2473</v>
      </c>
      <c r="G265" s="1776" t="s">
        <v>22</v>
      </c>
      <c r="H265" s="1776" t="s">
        <v>22</v>
      </c>
      <c r="I265" s="1776" t="s">
        <v>806</v>
      </c>
    </row>
    <row r="266" spans="1:9" ht="11.25" customHeight="1">
      <c r="A266" s="1776" t="s">
        <v>2244</v>
      </c>
      <c r="B266" s="1776" t="s">
        <v>16</v>
      </c>
      <c r="C266" s="1776" t="s">
        <v>3127</v>
      </c>
      <c r="D266" s="1776" t="s">
        <v>3128</v>
      </c>
      <c r="E266" s="1776" t="s">
        <v>3129</v>
      </c>
      <c r="F266" s="1776" t="s">
        <v>2309</v>
      </c>
      <c r="G266" s="1776" t="s">
        <v>22</v>
      </c>
      <c r="H266" s="1776" t="s">
        <v>22</v>
      </c>
      <c r="I266" s="1776" t="s">
        <v>806</v>
      </c>
    </row>
    <row r="267" spans="1:9" ht="11.25" customHeight="1">
      <c r="A267" s="1776" t="s">
        <v>2244</v>
      </c>
      <c r="B267" s="1776" t="s">
        <v>16</v>
      </c>
      <c r="C267" s="1776" t="s">
        <v>3130</v>
      </c>
      <c r="D267" s="1776" t="s">
        <v>3131</v>
      </c>
      <c r="E267" s="1776" t="s">
        <v>3132</v>
      </c>
      <c r="F267" s="1776" t="s">
        <v>2323</v>
      </c>
      <c r="G267" s="1776" t="s">
        <v>22</v>
      </c>
      <c r="H267" s="1776" t="s">
        <v>22</v>
      </c>
      <c r="I267" s="1776" t="s">
        <v>806</v>
      </c>
    </row>
    <row r="268" spans="1:9" ht="11.25" customHeight="1">
      <c r="A268" s="1776" t="s">
        <v>2244</v>
      </c>
      <c r="B268" s="1776" t="s">
        <v>16</v>
      </c>
      <c r="C268" s="1776" t="s">
        <v>3133</v>
      </c>
      <c r="D268" s="1776" t="s">
        <v>3134</v>
      </c>
      <c r="E268" s="1776" t="s">
        <v>3135</v>
      </c>
      <c r="F268" s="1776" t="s">
        <v>2446</v>
      </c>
      <c r="G268" s="1776" t="s">
        <v>22</v>
      </c>
      <c r="H268" s="1776" t="s">
        <v>22</v>
      </c>
      <c r="I268" s="1776" t="s">
        <v>806</v>
      </c>
    </row>
    <row r="269" spans="1:9" ht="11.25" customHeight="1">
      <c r="A269" s="1776" t="s">
        <v>2244</v>
      </c>
      <c r="B269" s="1776" t="s">
        <v>16</v>
      </c>
      <c r="C269" s="1776" t="s">
        <v>3136</v>
      </c>
      <c r="D269" s="1776" t="s">
        <v>3137</v>
      </c>
      <c r="E269" s="1776" t="s">
        <v>3138</v>
      </c>
      <c r="F269" s="1776" t="s">
        <v>2446</v>
      </c>
      <c r="G269" s="1776" t="s">
        <v>22</v>
      </c>
      <c r="H269" s="1776" t="s">
        <v>22</v>
      </c>
      <c r="I269" s="1776" t="s">
        <v>806</v>
      </c>
    </row>
    <row r="270" spans="1:9" ht="11.25" customHeight="1">
      <c r="A270" s="1776" t="s">
        <v>2244</v>
      </c>
      <c r="B270" s="1776" t="s">
        <v>16</v>
      </c>
      <c r="C270" s="1776" t="s">
        <v>3139</v>
      </c>
      <c r="D270" s="1776" t="s">
        <v>3140</v>
      </c>
      <c r="E270" s="1776" t="s">
        <v>3141</v>
      </c>
      <c r="F270" s="1776" t="s">
        <v>2550</v>
      </c>
      <c r="G270" s="1776" t="s">
        <v>3142</v>
      </c>
      <c r="H270" s="1776" t="s">
        <v>22</v>
      </c>
      <c r="I270" s="1776" t="s">
        <v>806</v>
      </c>
    </row>
    <row r="271" spans="1:9" ht="11.25" customHeight="1">
      <c r="A271" s="1776" t="s">
        <v>2244</v>
      </c>
      <c r="B271" s="1776" t="s">
        <v>16</v>
      </c>
      <c r="C271" s="1776" t="s">
        <v>3143</v>
      </c>
      <c r="D271" s="1776" t="s">
        <v>3144</v>
      </c>
      <c r="E271" s="1776" t="s">
        <v>3145</v>
      </c>
      <c r="F271" s="1776" t="s">
        <v>2261</v>
      </c>
      <c r="G271" s="1776" t="s">
        <v>22</v>
      </c>
      <c r="H271" s="1776" t="s">
        <v>22</v>
      </c>
      <c r="I271" s="1776" t="s">
        <v>806</v>
      </c>
    </row>
    <row r="272" spans="1:9" ht="11.25" customHeight="1">
      <c r="A272" s="1776" t="s">
        <v>2244</v>
      </c>
      <c r="B272" s="1776" t="s">
        <v>16</v>
      </c>
      <c r="C272" s="1776" t="s">
        <v>3146</v>
      </c>
      <c r="D272" s="1776" t="s">
        <v>3147</v>
      </c>
      <c r="E272" s="1776" t="s">
        <v>3148</v>
      </c>
      <c r="F272" s="1776" t="s">
        <v>2473</v>
      </c>
      <c r="G272" s="1776" t="s">
        <v>22</v>
      </c>
      <c r="H272" s="1776" t="s">
        <v>22</v>
      </c>
      <c r="I272" s="1776" t="s">
        <v>806</v>
      </c>
    </row>
    <row r="273" spans="1:9" ht="11.25" customHeight="1">
      <c r="A273" s="1776" t="s">
        <v>2244</v>
      </c>
      <c r="B273" s="1776" t="s">
        <v>16</v>
      </c>
      <c r="C273" s="1776" t="s">
        <v>3149</v>
      </c>
      <c r="D273" s="1776" t="s">
        <v>3150</v>
      </c>
      <c r="E273" s="1776" t="s">
        <v>3151</v>
      </c>
      <c r="F273" s="1776" t="s">
        <v>2276</v>
      </c>
      <c r="G273" s="1776" t="s">
        <v>3152</v>
      </c>
      <c r="H273" s="1776" t="s">
        <v>22</v>
      </c>
      <c r="I273" s="1776" t="s">
        <v>806</v>
      </c>
    </row>
    <row r="274" spans="1:9" ht="11.25" customHeight="1">
      <c r="A274" s="1776" t="s">
        <v>2244</v>
      </c>
      <c r="B274" s="1776" t="s">
        <v>16</v>
      </c>
      <c r="C274" s="1776" t="s">
        <v>3153</v>
      </c>
      <c r="D274" s="1776" t="s">
        <v>3154</v>
      </c>
      <c r="E274" s="1776" t="s">
        <v>3155</v>
      </c>
      <c r="F274" s="1776" t="s">
        <v>2276</v>
      </c>
      <c r="G274" s="1776" t="s">
        <v>22</v>
      </c>
      <c r="H274" s="1776" t="s">
        <v>22</v>
      </c>
      <c r="I274" s="1776" t="s">
        <v>806</v>
      </c>
    </row>
    <row r="275" spans="1:9" ht="11.25" customHeight="1">
      <c r="A275" s="1776" t="s">
        <v>2244</v>
      </c>
      <c r="B275" s="1776" t="s">
        <v>16</v>
      </c>
      <c r="C275" s="1776" t="s">
        <v>3156</v>
      </c>
      <c r="D275" s="1776" t="s">
        <v>3157</v>
      </c>
      <c r="E275" s="1776" t="s">
        <v>3158</v>
      </c>
      <c r="F275" s="1776" t="s">
        <v>2962</v>
      </c>
      <c r="G275" s="1776" t="s">
        <v>22</v>
      </c>
      <c r="H275" s="1776" t="s">
        <v>22</v>
      </c>
      <c r="I275" s="1776" t="s">
        <v>806</v>
      </c>
    </row>
    <row r="276" spans="1:9" ht="11.25" customHeight="1">
      <c r="A276" s="1776" t="s">
        <v>2244</v>
      </c>
      <c r="B276" s="1776" t="s">
        <v>16</v>
      </c>
      <c r="C276" s="1776" t="s">
        <v>3159</v>
      </c>
      <c r="D276" s="1776" t="s">
        <v>3160</v>
      </c>
      <c r="E276" s="1776" t="s">
        <v>3161</v>
      </c>
      <c r="F276" s="1776" t="s">
        <v>2252</v>
      </c>
      <c r="G276" s="1776" t="s">
        <v>22</v>
      </c>
      <c r="H276" s="1776" t="s">
        <v>22</v>
      </c>
      <c r="I276" s="1776" t="s">
        <v>806</v>
      </c>
    </row>
    <row r="277" spans="1:9" ht="11.25" customHeight="1">
      <c r="A277" s="1776" t="s">
        <v>2244</v>
      </c>
      <c r="B277" s="1776" t="s">
        <v>16</v>
      </c>
      <c r="C277" s="1776" t="s">
        <v>3162</v>
      </c>
      <c r="D277" s="1776" t="s">
        <v>3163</v>
      </c>
      <c r="E277" s="1776" t="s">
        <v>3164</v>
      </c>
      <c r="F277" s="1776" t="s">
        <v>2382</v>
      </c>
      <c r="G277" s="1776" t="s">
        <v>22</v>
      </c>
      <c r="H277" s="1776" t="s">
        <v>22</v>
      </c>
      <c r="I277" s="1776" t="s">
        <v>806</v>
      </c>
    </row>
    <row r="278" spans="1:9" ht="11.25" customHeight="1">
      <c r="A278" s="1776" t="s">
        <v>2244</v>
      </c>
      <c r="B278" s="1776" t="s">
        <v>16</v>
      </c>
      <c r="C278" s="1776" t="s">
        <v>3165</v>
      </c>
      <c r="D278" s="1776" t="s">
        <v>3166</v>
      </c>
      <c r="E278" s="1776" t="s">
        <v>3167</v>
      </c>
      <c r="F278" s="1776" t="s">
        <v>2382</v>
      </c>
      <c r="G278" s="1776" t="s">
        <v>3168</v>
      </c>
      <c r="H278" s="1776" t="s">
        <v>22</v>
      </c>
      <c r="I278" s="1776" t="s">
        <v>806</v>
      </c>
    </row>
    <row r="279" spans="1:9" ht="11.25" customHeight="1">
      <c r="A279" s="1776" t="s">
        <v>2244</v>
      </c>
      <c r="B279" s="1776" t="s">
        <v>16</v>
      </c>
      <c r="C279" s="1776" t="s">
        <v>3169</v>
      </c>
      <c r="D279" s="1776" t="s">
        <v>3170</v>
      </c>
      <c r="E279" s="1776" t="s">
        <v>3171</v>
      </c>
      <c r="F279" s="1776" t="s">
        <v>2287</v>
      </c>
      <c r="G279" s="1776" t="s">
        <v>22</v>
      </c>
      <c r="H279" s="1776" t="s">
        <v>22</v>
      </c>
      <c r="I279" s="1776" t="s">
        <v>806</v>
      </c>
    </row>
    <row r="280" spans="1:9" ht="11.25" customHeight="1">
      <c r="A280" s="1776" t="s">
        <v>2244</v>
      </c>
      <c r="B280" s="1776" t="s">
        <v>16</v>
      </c>
      <c r="C280" s="1776" t="s">
        <v>3172</v>
      </c>
      <c r="D280" s="1776" t="s">
        <v>3173</v>
      </c>
      <c r="E280" s="1776" t="s">
        <v>3174</v>
      </c>
      <c r="F280" s="1776" t="s">
        <v>2815</v>
      </c>
      <c r="G280" s="1776" t="s">
        <v>22</v>
      </c>
      <c r="H280" s="1776" t="s">
        <v>22</v>
      </c>
      <c r="I280" s="1776" t="s">
        <v>806</v>
      </c>
    </row>
    <row r="281" spans="1:9" ht="11.25" customHeight="1">
      <c r="A281" s="1776" t="s">
        <v>2244</v>
      </c>
      <c r="B281" s="1776" t="s">
        <v>16</v>
      </c>
      <c r="C281" s="1776" t="s">
        <v>3175</v>
      </c>
      <c r="D281" s="1776" t="s">
        <v>3176</v>
      </c>
      <c r="E281" s="1776" t="s">
        <v>3177</v>
      </c>
      <c r="F281" s="1776" t="s">
        <v>2252</v>
      </c>
      <c r="G281" s="1776" t="s">
        <v>22</v>
      </c>
      <c r="H281" s="1776" t="s">
        <v>22</v>
      </c>
      <c r="I281" s="1776" t="s">
        <v>806</v>
      </c>
    </row>
    <row r="282" spans="1:9" ht="11.25" customHeight="1">
      <c r="A282" s="1776" t="s">
        <v>2244</v>
      </c>
      <c r="B282" s="1776" t="s">
        <v>16</v>
      </c>
      <c r="C282" s="1776" t="s">
        <v>3178</v>
      </c>
      <c r="D282" s="1776" t="s">
        <v>3179</v>
      </c>
      <c r="E282" s="1776" t="s">
        <v>3180</v>
      </c>
      <c r="F282" s="1776" t="s">
        <v>2758</v>
      </c>
      <c r="G282" s="1776" t="s">
        <v>22</v>
      </c>
      <c r="H282" s="1776" t="s">
        <v>22</v>
      </c>
      <c r="I282" s="1776" t="s">
        <v>806</v>
      </c>
    </row>
    <row r="283" spans="1:9" ht="11.25" customHeight="1">
      <c r="A283" s="1776" t="s">
        <v>2244</v>
      </c>
      <c r="B283" s="1776" t="s">
        <v>16</v>
      </c>
      <c r="C283" s="1776" t="s">
        <v>3181</v>
      </c>
      <c r="D283" s="1776" t="s">
        <v>3182</v>
      </c>
      <c r="E283" s="1776" t="s">
        <v>3183</v>
      </c>
      <c r="F283" s="1776" t="s">
        <v>2758</v>
      </c>
      <c r="G283" s="1776" t="s">
        <v>3184</v>
      </c>
      <c r="H283" s="1776" t="s">
        <v>22</v>
      </c>
      <c r="I283" s="1776" t="s">
        <v>806</v>
      </c>
    </row>
    <row r="284" spans="1:9" ht="11.25" customHeight="1">
      <c r="A284" s="1776" t="s">
        <v>2244</v>
      </c>
      <c r="B284" s="1776" t="s">
        <v>16</v>
      </c>
      <c r="C284" s="1776" t="s">
        <v>3185</v>
      </c>
      <c r="D284" s="1776" t="s">
        <v>3186</v>
      </c>
      <c r="E284" s="1776" t="s">
        <v>3187</v>
      </c>
      <c r="F284" s="1776" t="s">
        <v>2500</v>
      </c>
      <c r="G284" s="1776" t="s">
        <v>3188</v>
      </c>
      <c r="H284" s="1776" t="s">
        <v>22</v>
      </c>
      <c r="I284" s="1776" t="s">
        <v>806</v>
      </c>
    </row>
    <row r="285" spans="1:9" ht="11.25" customHeight="1">
      <c r="A285" s="1776" t="s">
        <v>2244</v>
      </c>
      <c r="B285" s="1776" t="s">
        <v>16</v>
      </c>
      <c r="C285" s="1776" t="s">
        <v>3189</v>
      </c>
      <c r="D285" s="1776" t="s">
        <v>3190</v>
      </c>
      <c r="E285" s="1776" t="s">
        <v>3191</v>
      </c>
      <c r="F285" s="1776" t="s">
        <v>2382</v>
      </c>
      <c r="G285" s="1776" t="s">
        <v>22</v>
      </c>
      <c r="H285" s="1776" t="s">
        <v>22</v>
      </c>
      <c r="I285" s="1776" t="s">
        <v>806</v>
      </c>
    </row>
    <row r="286" spans="1:9" ht="11.25" customHeight="1">
      <c r="A286" s="1776" t="s">
        <v>2244</v>
      </c>
      <c r="B286" s="1776" t="s">
        <v>16</v>
      </c>
      <c r="C286" s="1776" t="s">
        <v>3192</v>
      </c>
      <c r="D286" s="1776" t="s">
        <v>3193</v>
      </c>
      <c r="E286" s="1776" t="s">
        <v>3194</v>
      </c>
      <c r="F286" s="1776" t="s">
        <v>2534</v>
      </c>
      <c r="G286" s="1776" t="s">
        <v>22</v>
      </c>
      <c r="H286" s="1776" t="s">
        <v>22</v>
      </c>
      <c r="I286" s="1776" t="s">
        <v>806</v>
      </c>
    </row>
    <row r="287" spans="1:9" ht="11.25" customHeight="1">
      <c r="A287" s="1776" t="s">
        <v>2244</v>
      </c>
      <c r="B287" s="1776" t="s">
        <v>16</v>
      </c>
      <c r="C287" s="1776" t="s">
        <v>3195</v>
      </c>
      <c r="D287" s="1776" t="s">
        <v>3196</v>
      </c>
      <c r="E287" s="1776" t="s">
        <v>3197</v>
      </c>
      <c r="F287" s="1776" t="s">
        <v>2701</v>
      </c>
      <c r="G287" s="1776" t="s">
        <v>22</v>
      </c>
      <c r="H287" s="1776" t="s">
        <v>22</v>
      </c>
      <c r="I287" s="1776" t="s">
        <v>806</v>
      </c>
    </row>
    <row r="288" spans="1:9" ht="11.25" customHeight="1">
      <c r="A288" s="1776" t="s">
        <v>2244</v>
      </c>
      <c r="B288" s="1776" t="s">
        <v>16</v>
      </c>
      <c r="C288" s="1776" t="s">
        <v>3198</v>
      </c>
      <c r="D288" s="1776" t="s">
        <v>3199</v>
      </c>
      <c r="E288" s="1776" t="s">
        <v>3200</v>
      </c>
      <c r="F288" s="1776" t="s">
        <v>2261</v>
      </c>
      <c r="G288" s="1776" t="s">
        <v>22</v>
      </c>
      <c r="H288" s="1776" t="s">
        <v>22</v>
      </c>
      <c r="I288" s="1776" t="s">
        <v>806</v>
      </c>
    </row>
    <row r="289" spans="1:9" ht="11.25" customHeight="1">
      <c r="A289" s="1776" t="s">
        <v>2244</v>
      </c>
      <c r="B289" s="1776" t="s">
        <v>16</v>
      </c>
      <c r="C289" s="1776" t="s">
        <v>3201</v>
      </c>
      <c r="D289" s="1776" t="s">
        <v>3202</v>
      </c>
      <c r="E289" s="1776" t="s">
        <v>3203</v>
      </c>
      <c r="F289" s="1776" t="s">
        <v>3204</v>
      </c>
      <c r="G289" s="1776" t="s">
        <v>22</v>
      </c>
      <c r="H289" s="1776" t="s">
        <v>22</v>
      </c>
      <c r="I289" s="1776" t="s">
        <v>806</v>
      </c>
    </row>
    <row r="290" spans="1:9" ht="11.25" customHeight="1">
      <c r="A290" s="1776" t="s">
        <v>2244</v>
      </c>
      <c r="B290" s="1776" t="s">
        <v>16</v>
      </c>
      <c r="C290" s="1776" t="s">
        <v>3205</v>
      </c>
      <c r="D290" s="1776" t="s">
        <v>3206</v>
      </c>
      <c r="E290" s="1776" t="s">
        <v>3207</v>
      </c>
      <c r="F290" s="1776" t="s">
        <v>2257</v>
      </c>
      <c r="G290" s="1776" t="s">
        <v>22</v>
      </c>
      <c r="H290" s="1776" t="s">
        <v>22</v>
      </c>
      <c r="I290" s="1776" t="s">
        <v>806</v>
      </c>
    </row>
    <row r="291" spans="1:9" ht="11.25" customHeight="1">
      <c r="A291" s="1776" t="s">
        <v>2244</v>
      </c>
      <c r="B291" s="1776" t="s">
        <v>16</v>
      </c>
      <c r="C291" s="1776" t="s">
        <v>3208</v>
      </c>
      <c r="D291" s="1776" t="s">
        <v>3209</v>
      </c>
      <c r="E291" s="1776" t="s">
        <v>3210</v>
      </c>
      <c r="F291" s="1776" t="s">
        <v>2808</v>
      </c>
      <c r="G291" s="1776" t="s">
        <v>3211</v>
      </c>
      <c r="H291" s="1776" t="s">
        <v>22</v>
      </c>
      <c r="I291" s="1776" t="s">
        <v>806</v>
      </c>
    </row>
    <row r="292" spans="1:9" ht="11.25" customHeight="1">
      <c r="A292" s="1776" t="s">
        <v>2244</v>
      </c>
      <c r="B292" s="1776" t="s">
        <v>16</v>
      </c>
      <c r="C292" s="1776" t="s">
        <v>3212</v>
      </c>
      <c r="D292" s="1776" t="s">
        <v>3213</v>
      </c>
      <c r="E292" s="1776" t="s">
        <v>3214</v>
      </c>
      <c r="F292" s="1776" t="s">
        <v>2550</v>
      </c>
      <c r="G292" s="1776" t="s">
        <v>3215</v>
      </c>
      <c r="H292" s="1776" t="s">
        <v>22</v>
      </c>
      <c r="I292" s="1776" t="s">
        <v>806</v>
      </c>
    </row>
    <row r="293" spans="1:9" ht="11.25" customHeight="1">
      <c r="A293" s="1776" t="s">
        <v>2244</v>
      </c>
      <c r="B293" s="1776" t="s">
        <v>16</v>
      </c>
      <c r="C293" s="1776" t="s">
        <v>3216</v>
      </c>
      <c r="D293" s="1776" t="s">
        <v>3217</v>
      </c>
      <c r="E293" s="1776" t="s">
        <v>3218</v>
      </c>
      <c r="F293" s="1776" t="s">
        <v>2382</v>
      </c>
      <c r="G293" s="1776" t="s">
        <v>3219</v>
      </c>
      <c r="H293" s="1776" t="s">
        <v>22</v>
      </c>
      <c r="I293" s="1776" t="s">
        <v>806</v>
      </c>
    </row>
    <row r="294" spans="1:9" ht="11.25" customHeight="1">
      <c r="A294" s="1776" t="s">
        <v>2244</v>
      </c>
      <c r="B294" s="1776" t="s">
        <v>16</v>
      </c>
      <c r="C294" s="1776" t="s">
        <v>3220</v>
      </c>
      <c r="D294" s="1776" t="s">
        <v>3221</v>
      </c>
      <c r="E294" s="1776" t="s">
        <v>3222</v>
      </c>
      <c r="F294" s="1776" t="s">
        <v>2252</v>
      </c>
      <c r="G294" s="1776" t="s">
        <v>22</v>
      </c>
      <c r="H294" s="1776" t="s">
        <v>22</v>
      </c>
      <c r="I294" s="1776" t="s">
        <v>806</v>
      </c>
    </row>
    <row r="295" spans="1:9" ht="11.25" customHeight="1">
      <c r="A295" s="1776" t="s">
        <v>2244</v>
      </c>
      <c r="B295" s="1776" t="s">
        <v>16</v>
      </c>
      <c r="C295" s="1776" t="s">
        <v>3223</v>
      </c>
      <c r="D295" s="1776" t="s">
        <v>3224</v>
      </c>
      <c r="E295" s="1776" t="s">
        <v>3225</v>
      </c>
      <c r="F295" s="1776" t="s">
        <v>2550</v>
      </c>
      <c r="G295" s="1776" t="s">
        <v>3226</v>
      </c>
      <c r="H295" s="1776" t="s">
        <v>22</v>
      </c>
      <c r="I295" s="1776" t="s">
        <v>806</v>
      </c>
    </row>
    <row r="296" spans="1:9" ht="11.25" customHeight="1">
      <c r="A296" s="1776" t="s">
        <v>2244</v>
      </c>
      <c r="B296" s="1776" t="s">
        <v>16</v>
      </c>
      <c r="C296" s="1776" t="s">
        <v>3227</v>
      </c>
      <c r="D296" s="1776" t="s">
        <v>3228</v>
      </c>
      <c r="E296" s="1776" t="s">
        <v>3229</v>
      </c>
      <c r="F296" s="1776" t="s">
        <v>2372</v>
      </c>
      <c r="G296" s="1776" t="s">
        <v>3230</v>
      </c>
      <c r="H296" s="1776" t="s">
        <v>22</v>
      </c>
      <c r="I296" s="1776" t="s">
        <v>806</v>
      </c>
    </row>
    <row r="297" spans="1:9" ht="11.25" customHeight="1">
      <c r="A297" s="1776" t="s">
        <v>2244</v>
      </c>
      <c r="B297" s="1776" t="s">
        <v>16</v>
      </c>
      <c r="C297" s="1776" t="s">
        <v>3231</v>
      </c>
      <c r="D297" s="1776" t="s">
        <v>3232</v>
      </c>
      <c r="E297" s="1776" t="s">
        <v>3233</v>
      </c>
      <c r="F297" s="1776" t="s">
        <v>2257</v>
      </c>
      <c r="G297" s="1776" t="s">
        <v>22</v>
      </c>
      <c r="H297" s="1776" t="s">
        <v>22</v>
      </c>
      <c r="I297" s="1776" t="s">
        <v>806</v>
      </c>
    </row>
    <row r="298" spans="1:9" ht="11.25" customHeight="1">
      <c r="A298" s="1776" t="s">
        <v>2244</v>
      </c>
      <c r="B298" s="1776" t="s">
        <v>16</v>
      </c>
      <c r="C298" s="1776" t="s">
        <v>3234</v>
      </c>
      <c r="D298" s="1776" t="s">
        <v>3235</v>
      </c>
      <c r="E298" s="1776" t="s">
        <v>3236</v>
      </c>
      <c r="F298" s="1776" t="s">
        <v>2550</v>
      </c>
      <c r="G298" s="1776" t="s">
        <v>22</v>
      </c>
      <c r="H298" s="1776" t="s">
        <v>22</v>
      </c>
      <c r="I298" s="1776" t="s">
        <v>806</v>
      </c>
    </row>
    <row r="299" spans="1:9" ht="11.25" customHeight="1">
      <c r="A299" s="1776" t="s">
        <v>2244</v>
      </c>
      <c r="B299" s="1776" t="s">
        <v>16</v>
      </c>
      <c r="C299" s="1776" t="s">
        <v>3237</v>
      </c>
      <c r="D299" s="1776" t="s">
        <v>3238</v>
      </c>
      <c r="E299" s="1776" t="s">
        <v>3239</v>
      </c>
      <c r="F299" s="1776" t="s">
        <v>2252</v>
      </c>
      <c r="G299" s="1776" t="s">
        <v>22</v>
      </c>
      <c r="H299" s="1776" t="s">
        <v>22</v>
      </c>
      <c r="I299" s="1776" t="s">
        <v>806</v>
      </c>
    </row>
    <row r="300" spans="1:9" ht="11.25" customHeight="1">
      <c r="A300" s="1776" t="s">
        <v>2244</v>
      </c>
      <c r="B300" s="1776" t="s">
        <v>16</v>
      </c>
      <c r="C300" s="1776" t="s">
        <v>3240</v>
      </c>
      <c r="D300" s="1776" t="s">
        <v>3241</v>
      </c>
      <c r="E300" s="1776" t="s">
        <v>3242</v>
      </c>
      <c r="F300" s="1776" t="s">
        <v>2446</v>
      </c>
      <c r="G300" s="1776" t="s">
        <v>22</v>
      </c>
      <c r="H300" s="1776" t="s">
        <v>22</v>
      </c>
      <c r="I300" s="1776" t="s">
        <v>806</v>
      </c>
    </row>
    <row r="301" spans="1:9" ht="11.25" customHeight="1">
      <c r="A301" s="1776" t="s">
        <v>2244</v>
      </c>
      <c r="B301" s="1776" t="s">
        <v>16</v>
      </c>
      <c r="C301" s="1776" t="s">
        <v>3243</v>
      </c>
      <c r="D301" s="1776" t="s">
        <v>3244</v>
      </c>
      <c r="E301" s="1776" t="s">
        <v>3245</v>
      </c>
      <c r="F301" s="1776" t="s">
        <v>2257</v>
      </c>
      <c r="G301" s="1776" t="s">
        <v>3246</v>
      </c>
      <c r="H301" s="1776" t="s">
        <v>22</v>
      </c>
      <c r="I301" s="1776" t="s">
        <v>806</v>
      </c>
    </row>
    <row r="302" spans="1:9" ht="11.25" customHeight="1">
      <c r="A302" s="1776" t="s">
        <v>2244</v>
      </c>
      <c r="B302" s="1776" t="s">
        <v>16</v>
      </c>
      <c r="C302" s="1776" t="s">
        <v>3247</v>
      </c>
      <c r="D302" s="1776" t="s">
        <v>3248</v>
      </c>
      <c r="E302" s="1776" t="s">
        <v>3249</v>
      </c>
      <c r="F302" s="1776" t="s">
        <v>2527</v>
      </c>
      <c r="G302" s="1776" t="s">
        <v>22</v>
      </c>
      <c r="H302" s="1776" t="s">
        <v>22</v>
      </c>
      <c r="I302" s="1776" t="s">
        <v>806</v>
      </c>
    </row>
    <row r="303" spans="1:9" ht="11.25" customHeight="1">
      <c r="A303" s="1776" t="s">
        <v>2244</v>
      </c>
      <c r="B303" s="1776" t="s">
        <v>16</v>
      </c>
      <c r="C303" s="1776" t="s">
        <v>3250</v>
      </c>
      <c r="D303" s="1776" t="s">
        <v>3251</v>
      </c>
      <c r="E303" s="1776" t="s">
        <v>3252</v>
      </c>
      <c r="F303" s="1776" t="s">
        <v>2368</v>
      </c>
      <c r="G303" s="1776" t="s">
        <v>22</v>
      </c>
      <c r="H303" s="1776" t="s">
        <v>22</v>
      </c>
      <c r="I303" s="1776" t="s">
        <v>806</v>
      </c>
    </row>
    <row r="304" spans="1:9" ht="11.25" customHeight="1">
      <c r="A304" s="1776" t="s">
        <v>2244</v>
      </c>
      <c r="B304" s="1776" t="s">
        <v>16</v>
      </c>
      <c r="C304" s="1776" t="s">
        <v>3253</v>
      </c>
      <c r="D304" s="1776" t="s">
        <v>3254</v>
      </c>
      <c r="E304" s="1776" t="s">
        <v>3255</v>
      </c>
      <c r="F304" s="1776" t="s">
        <v>2252</v>
      </c>
      <c r="G304" s="1776" t="s">
        <v>22</v>
      </c>
      <c r="H304" s="1776" t="s">
        <v>22</v>
      </c>
      <c r="I304" s="1776" t="s">
        <v>806</v>
      </c>
    </row>
    <row r="305" spans="1:9" ht="11.25" customHeight="1">
      <c r="A305" s="1776" t="s">
        <v>2244</v>
      </c>
      <c r="B305" s="1776" t="s">
        <v>16</v>
      </c>
      <c r="C305" s="1776" t="s">
        <v>3256</v>
      </c>
      <c r="D305" s="1776" t="s">
        <v>3257</v>
      </c>
      <c r="E305" s="1776" t="s">
        <v>3258</v>
      </c>
      <c r="F305" s="1776" t="s">
        <v>2887</v>
      </c>
      <c r="G305" s="1776" t="s">
        <v>22</v>
      </c>
      <c r="H305" s="1776" t="s">
        <v>22</v>
      </c>
      <c r="I305" s="1776" t="s">
        <v>806</v>
      </c>
    </row>
    <row r="306" spans="1:9" ht="11.25" customHeight="1">
      <c r="A306" s="1776" t="s">
        <v>2244</v>
      </c>
      <c r="B306" s="1776" t="s">
        <v>16</v>
      </c>
      <c r="C306" s="1776" t="s">
        <v>3259</v>
      </c>
      <c r="D306" s="1776" t="s">
        <v>3260</v>
      </c>
      <c r="E306" s="1776" t="s">
        <v>3261</v>
      </c>
      <c r="F306" s="1776" t="s">
        <v>2302</v>
      </c>
      <c r="G306" s="1776" t="s">
        <v>22</v>
      </c>
      <c r="H306" s="1776" t="s">
        <v>22</v>
      </c>
      <c r="I306" s="1776" t="s">
        <v>806</v>
      </c>
    </row>
    <row r="307" spans="1:9" ht="11.25" customHeight="1">
      <c r="A307" s="1776" t="s">
        <v>2244</v>
      </c>
      <c r="B307" s="1776" t="s">
        <v>16</v>
      </c>
      <c r="C307" s="1776" t="s">
        <v>3262</v>
      </c>
      <c r="D307" s="1776" t="s">
        <v>3263</v>
      </c>
      <c r="E307" s="1776" t="s">
        <v>3264</v>
      </c>
      <c r="F307" s="1776" t="s">
        <v>2887</v>
      </c>
      <c r="G307" s="1776" t="s">
        <v>3265</v>
      </c>
      <c r="H307" s="1776" t="s">
        <v>22</v>
      </c>
      <c r="I307" s="1776" t="s">
        <v>806</v>
      </c>
    </row>
    <row r="308" spans="1:9" ht="11.25" customHeight="1">
      <c r="A308" s="1776" t="s">
        <v>2244</v>
      </c>
      <c r="B308" s="1776" t="s">
        <v>16</v>
      </c>
      <c r="C308" s="1776" t="s">
        <v>3266</v>
      </c>
      <c r="D308" s="1776" t="s">
        <v>3267</v>
      </c>
      <c r="E308" s="1776" t="s">
        <v>3268</v>
      </c>
      <c r="F308" s="1776" t="s">
        <v>2266</v>
      </c>
      <c r="G308" s="1776" t="s">
        <v>22</v>
      </c>
      <c r="H308" s="1776" t="s">
        <v>22</v>
      </c>
      <c r="I308" s="1776" t="s">
        <v>806</v>
      </c>
    </row>
    <row r="309" spans="1:9" ht="11.25" customHeight="1">
      <c r="A309" s="1776" t="s">
        <v>2244</v>
      </c>
      <c r="B309" s="1776" t="s">
        <v>16</v>
      </c>
      <c r="C309" s="1776" t="s">
        <v>3269</v>
      </c>
      <c r="D309" s="1776" t="s">
        <v>3270</v>
      </c>
      <c r="E309" s="1776" t="s">
        <v>3271</v>
      </c>
      <c r="F309" s="1776" t="s">
        <v>2323</v>
      </c>
      <c r="G309" s="1776" t="s">
        <v>22</v>
      </c>
      <c r="H309" s="1776" t="s">
        <v>22</v>
      </c>
      <c r="I309" s="1776" t="s">
        <v>806</v>
      </c>
    </row>
    <row r="310" spans="1:9" ht="11.25" customHeight="1">
      <c r="A310" s="1776" t="s">
        <v>2244</v>
      </c>
      <c r="B310" s="1776" t="s">
        <v>16</v>
      </c>
      <c r="C310" s="1776" t="s">
        <v>3272</v>
      </c>
      <c r="D310" s="1776" t="s">
        <v>3273</v>
      </c>
      <c r="E310" s="1776" t="s">
        <v>3274</v>
      </c>
      <c r="F310" s="1776" t="s">
        <v>2294</v>
      </c>
      <c r="G310" s="1776" t="s">
        <v>22</v>
      </c>
      <c r="H310" s="1776" t="s">
        <v>22</v>
      </c>
      <c r="I310" s="1776" t="s">
        <v>806</v>
      </c>
    </row>
    <row r="311" spans="1:9" ht="11.25" customHeight="1">
      <c r="A311" s="1776" t="s">
        <v>2244</v>
      </c>
      <c r="B311" s="1776" t="s">
        <v>16</v>
      </c>
      <c r="C311" s="1776" t="s">
        <v>3275</v>
      </c>
      <c r="D311" s="1776" t="s">
        <v>3276</v>
      </c>
      <c r="E311" s="1776" t="s">
        <v>3277</v>
      </c>
      <c r="F311" s="1776" t="s">
        <v>2382</v>
      </c>
      <c r="G311" s="1776" t="s">
        <v>22</v>
      </c>
      <c r="H311" s="1776" t="s">
        <v>22</v>
      </c>
      <c r="I311" s="1776" t="s">
        <v>806</v>
      </c>
    </row>
    <row r="312" spans="1:9" ht="11.25" customHeight="1">
      <c r="A312" s="1776" t="s">
        <v>2244</v>
      </c>
      <c r="B312" s="1776" t="s">
        <v>16</v>
      </c>
      <c r="C312" s="1776" t="s">
        <v>3278</v>
      </c>
      <c r="D312" s="1776" t="s">
        <v>3279</v>
      </c>
      <c r="E312" s="1776" t="s">
        <v>3280</v>
      </c>
      <c r="F312" s="1776" t="s">
        <v>2276</v>
      </c>
      <c r="G312" s="1776" t="s">
        <v>22</v>
      </c>
      <c r="H312" s="1776" t="s">
        <v>3281</v>
      </c>
      <c r="I312" s="1776" t="s">
        <v>806</v>
      </c>
    </row>
    <row r="313" spans="1:9" ht="11.25" customHeight="1">
      <c r="A313" s="1776" t="s">
        <v>2244</v>
      </c>
      <c r="B313" s="1776" t="s">
        <v>16</v>
      </c>
      <c r="C313" s="1776" t="s">
        <v>3282</v>
      </c>
      <c r="D313" s="1776" t="s">
        <v>3283</v>
      </c>
      <c r="E313" s="1776" t="s">
        <v>3284</v>
      </c>
      <c r="F313" s="1776" t="s">
        <v>2627</v>
      </c>
      <c r="G313" s="1776" t="s">
        <v>22</v>
      </c>
      <c r="H313" s="1776" t="s">
        <v>22</v>
      </c>
      <c r="I313" s="1776" t="s">
        <v>806</v>
      </c>
    </row>
    <row r="314" spans="1:9" ht="11.25" customHeight="1">
      <c r="A314" s="1776" t="s">
        <v>2244</v>
      </c>
      <c r="B314" s="1776" t="s">
        <v>16</v>
      </c>
      <c r="C314" s="1776" t="s">
        <v>3285</v>
      </c>
      <c r="D314" s="1776" t="s">
        <v>3286</v>
      </c>
      <c r="E314" s="1776" t="s">
        <v>3287</v>
      </c>
      <c r="F314" s="1776" t="s">
        <v>2690</v>
      </c>
      <c r="G314" s="1776" t="s">
        <v>22</v>
      </c>
      <c r="H314" s="1776" t="s">
        <v>3288</v>
      </c>
      <c r="I314" s="1776" t="s">
        <v>806</v>
      </c>
    </row>
    <row r="315" spans="1:9" ht="11.25" customHeight="1">
      <c r="A315" s="1776" t="s">
        <v>2244</v>
      </c>
      <c r="B315" s="1776" t="s">
        <v>16</v>
      </c>
      <c r="C315" s="1776" t="s">
        <v>3289</v>
      </c>
      <c r="D315" s="1776" t="s">
        <v>3290</v>
      </c>
      <c r="E315" s="1776" t="s">
        <v>3291</v>
      </c>
      <c r="F315" s="1776" t="s">
        <v>2368</v>
      </c>
      <c r="G315" s="1776" t="s">
        <v>22</v>
      </c>
      <c r="H315" s="1776" t="s">
        <v>22</v>
      </c>
      <c r="I315" s="1776" t="s">
        <v>806</v>
      </c>
    </row>
    <row r="316" spans="1:9" ht="11.25" customHeight="1">
      <c r="A316" s="1776" t="s">
        <v>2244</v>
      </c>
      <c r="B316" s="1776" t="s">
        <v>16</v>
      </c>
      <c r="C316" s="1776" t="s">
        <v>3292</v>
      </c>
      <c r="D316" s="1776" t="s">
        <v>3293</v>
      </c>
      <c r="E316" s="1776" t="s">
        <v>3294</v>
      </c>
      <c r="F316" s="1776" t="s">
        <v>2623</v>
      </c>
      <c r="G316" s="1776" t="s">
        <v>22</v>
      </c>
      <c r="H316" s="1776" t="s">
        <v>22</v>
      </c>
      <c r="I316" s="1776" t="s">
        <v>806</v>
      </c>
    </row>
    <row r="317" spans="1:9" ht="11.25" customHeight="1">
      <c r="A317" s="1776" t="s">
        <v>2244</v>
      </c>
      <c r="B317" s="1776" t="s">
        <v>16</v>
      </c>
      <c r="C317" s="1776" t="s">
        <v>3295</v>
      </c>
      <c r="D317" s="1776" t="s">
        <v>3296</v>
      </c>
      <c r="E317" s="1776" t="s">
        <v>3297</v>
      </c>
      <c r="F317" s="1776" t="s">
        <v>3298</v>
      </c>
      <c r="G317" s="1776" t="s">
        <v>22</v>
      </c>
      <c r="H317" s="1776" t="s">
        <v>22</v>
      </c>
      <c r="I317" s="1776" t="s">
        <v>806</v>
      </c>
    </row>
    <row r="318" spans="1:9" ht="11.25" customHeight="1">
      <c r="A318" s="1776" t="s">
        <v>2244</v>
      </c>
      <c r="B318" s="1776" t="s">
        <v>16</v>
      </c>
      <c r="C318" s="1776" t="s">
        <v>3299</v>
      </c>
      <c r="D318" s="1776" t="s">
        <v>3300</v>
      </c>
      <c r="E318" s="1776" t="s">
        <v>3301</v>
      </c>
      <c r="F318" s="1776" t="s">
        <v>3302</v>
      </c>
      <c r="G318" s="1776" t="s">
        <v>22</v>
      </c>
      <c r="H318" s="1776" t="s">
        <v>22</v>
      </c>
      <c r="I318" s="1776" t="s">
        <v>806</v>
      </c>
    </row>
    <row r="319" spans="1:9" ht="11.25" customHeight="1">
      <c r="A319" s="1776" t="s">
        <v>2244</v>
      </c>
      <c r="B319" s="1776" t="s">
        <v>16</v>
      </c>
      <c r="C319" s="1776" t="s">
        <v>13</v>
      </c>
      <c r="D319" s="1776" t="s">
        <v>46</v>
      </c>
      <c r="E319" s="1776" t="s">
        <v>49</v>
      </c>
      <c r="F319" s="1776" t="s">
        <v>51</v>
      </c>
      <c r="G319" s="1776" t="s">
        <v>22</v>
      </c>
      <c r="H319" s="1776" t="s">
        <v>22</v>
      </c>
      <c r="I319" s="1776" t="s">
        <v>806</v>
      </c>
    </row>
    <row r="320" spans="1:9" ht="11.25" customHeight="1">
      <c r="A320" s="1776" t="s">
        <v>2244</v>
      </c>
      <c r="B320" s="1776" t="s">
        <v>16</v>
      </c>
      <c r="C320" s="1776" t="s">
        <v>3303</v>
      </c>
      <c r="D320" s="1776" t="s">
        <v>3304</v>
      </c>
      <c r="E320" s="1776" t="s">
        <v>3305</v>
      </c>
      <c r="F320" s="1776" t="s">
        <v>2257</v>
      </c>
      <c r="G320" s="1776" t="s">
        <v>22</v>
      </c>
      <c r="H320" s="1776" t="s">
        <v>22</v>
      </c>
      <c r="I320" s="1776" t="s">
        <v>806</v>
      </c>
    </row>
    <row r="321" spans="1:9" ht="11.25" customHeight="1">
      <c r="A321" s="1776" t="s">
        <v>2244</v>
      </c>
      <c r="B321" s="1776" t="s">
        <v>16</v>
      </c>
      <c r="C321" s="1776" t="s">
        <v>3306</v>
      </c>
      <c r="D321" s="1776" t="s">
        <v>3307</v>
      </c>
      <c r="E321" s="1776" t="s">
        <v>3308</v>
      </c>
      <c r="F321" s="1776" t="s">
        <v>2344</v>
      </c>
      <c r="G321" s="1776" t="s">
        <v>22</v>
      </c>
      <c r="H321" s="1776" t="s">
        <v>22</v>
      </c>
      <c r="I321" s="1776" t="s">
        <v>806</v>
      </c>
    </row>
    <row r="322" spans="1:9" ht="11.25" customHeight="1">
      <c r="A322" s="1776" t="s">
        <v>2244</v>
      </c>
      <c r="B322" s="1776" t="s">
        <v>16</v>
      </c>
      <c r="C322" s="1776" t="s">
        <v>3309</v>
      </c>
      <c r="D322" s="1776" t="s">
        <v>3310</v>
      </c>
      <c r="E322" s="1776" t="s">
        <v>3311</v>
      </c>
      <c r="F322" s="1776" t="s">
        <v>3312</v>
      </c>
      <c r="G322" s="1776" t="s">
        <v>22</v>
      </c>
      <c r="H322" s="1776" t="s">
        <v>22</v>
      </c>
      <c r="I322" s="1776" t="s">
        <v>806</v>
      </c>
    </row>
    <row r="323" spans="1:9" ht="11.25" customHeight="1">
      <c r="A323" s="1776" t="s">
        <v>2244</v>
      </c>
      <c r="B323" s="1776" t="s">
        <v>16</v>
      </c>
      <c r="C323" s="1776" t="s">
        <v>3313</v>
      </c>
      <c r="D323" s="1776" t="s">
        <v>3314</v>
      </c>
      <c r="E323" s="1776" t="s">
        <v>3315</v>
      </c>
      <c r="F323" s="1776" t="s">
        <v>2323</v>
      </c>
      <c r="G323" s="1776" t="s">
        <v>22</v>
      </c>
      <c r="H323" s="1776" t="s">
        <v>22</v>
      </c>
      <c r="I323" s="1776" t="s">
        <v>806</v>
      </c>
    </row>
    <row r="324" spans="1:9" ht="11.25" customHeight="1">
      <c r="A324" s="1776" t="s">
        <v>2244</v>
      </c>
      <c r="B324" s="1776" t="s">
        <v>16</v>
      </c>
      <c r="C324" s="1776" t="s">
        <v>3316</v>
      </c>
      <c r="D324" s="1776" t="s">
        <v>3317</v>
      </c>
      <c r="E324" s="1776" t="s">
        <v>3318</v>
      </c>
      <c r="F324" s="1776" t="s">
        <v>2252</v>
      </c>
      <c r="G324" s="1776" t="s">
        <v>3319</v>
      </c>
      <c r="H324" s="1776" t="s">
        <v>22</v>
      </c>
      <c r="I324" s="1776" t="s">
        <v>806</v>
      </c>
    </row>
    <row r="325" spans="1:9" ht="11.25" customHeight="1">
      <c r="A325" s="1776" t="s">
        <v>2244</v>
      </c>
      <c r="B325" s="1776" t="s">
        <v>16</v>
      </c>
      <c r="C325" s="1776" t="s">
        <v>3320</v>
      </c>
      <c r="D325" s="1776" t="s">
        <v>3321</v>
      </c>
      <c r="E325" s="1776" t="s">
        <v>3322</v>
      </c>
      <c r="F325" s="1776" t="s">
        <v>2302</v>
      </c>
      <c r="G325" s="1776" t="s">
        <v>22</v>
      </c>
      <c r="H325" s="1776" t="s">
        <v>22</v>
      </c>
      <c r="I325" s="1776" t="s">
        <v>806</v>
      </c>
    </row>
    <row r="326" spans="1:9" ht="11.25" customHeight="1">
      <c r="A326" s="1776" t="s">
        <v>2244</v>
      </c>
      <c r="B326" s="1776" t="s">
        <v>16</v>
      </c>
      <c r="C326" s="1776" t="s">
        <v>3323</v>
      </c>
      <c r="D326" s="1776" t="s">
        <v>3324</v>
      </c>
      <c r="E326" s="1776" t="s">
        <v>3325</v>
      </c>
      <c r="F326" s="1776" t="s">
        <v>2500</v>
      </c>
      <c r="G326" s="1776" t="s">
        <v>22</v>
      </c>
      <c r="H326" s="1776" t="s">
        <v>22</v>
      </c>
      <c r="I326" s="1776" t="s">
        <v>806</v>
      </c>
    </row>
    <row r="327" spans="1:9" ht="11.25" customHeight="1">
      <c r="A327" s="1776" t="s">
        <v>2244</v>
      </c>
      <c r="B327" s="1776" t="s">
        <v>16</v>
      </c>
      <c r="C327" s="1776" t="s">
        <v>3326</v>
      </c>
      <c r="D327" s="1776" t="s">
        <v>3327</v>
      </c>
      <c r="E327" s="1776" t="s">
        <v>3328</v>
      </c>
      <c r="F327" s="1776" t="s">
        <v>2534</v>
      </c>
      <c r="G327" s="1776" t="s">
        <v>22</v>
      </c>
      <c r="H327" s="1776" t="s">
        <v>22</v>
      </c>
      <c r="I327" s="1776" t="s">
        <v>806</v>
      </c>
    </row>
    <row r="328" spans="1:9" ht="11.25" customHeight="1">
      <c r="A328" s="1776" t="s">
        <v>2244</v>
      </c>
      <c r="B328" s="1776" t="s">
        <v>16</v>
      </c>
      <c r="C328" s="1776" t="s">
        <v>3329</v>
      </c>
      <c r="D328" s="1776" t="s">
        <v>3330</v>
      </c>
      <c r="E328" s="1776" t="s">
        <v>3331</v>
      </c>
      <c r="F328" s="1776" t="s">
        <v>2659</v>
      </c>
      <c r="G328" s="1776" t="s">
        <v>22</v>
      </c>
      <c r="H328" s="1776" t="s">
        <v>22</v>
      </c>
      <c r="I328" s="1776" t="s">
        <v>806</v>
      </c>
    </row>
    <row r="329" spans="1:9" ht="11.25" customHeight="1">
      <c r="A329" s="1776" t="s">
        <v>2244</v>
      </c>
      <c r="B329" s="1776" t="s">
        <v>16</v>
      </c>
      <c r="C329" s="1776" t="s">
        <v>3332</v>
      </c>
      <c r="D329" s="1776" t="s">
        <v>3333</v>
      </c>
      <c r="E329" s="1776" t="s">
        <v>3334</v>
      </c>
      <c r="F329" s="1776" t="s">
        <v>2257</v>
      </c>
      <c r="G329" s="1776" t="s">
        <v>22</v>
      </c>
      <c r="H329" s="1776" t="s">
        <v>22</v>
      </c>
      <c r="I329" s="1776" t="s">
        <v>806</v>
      </c>
    </row>
    <row r="330" spans="1:9" ht="11.25" customHeight="1">
      <c r="A330" s="1776" t="s">
        <v>2244</v>
      </c>
      <c r="B330" s="1776" t="s">
        <v>16</v>
      </c>
      <c r="C330" s="1776" t="s">
        <v>3335</v>
      </c>
      <c r="D330" s="1776" t="s">
        <v>3336</v>
      </c>
      <c r="E330" s="1776" t="s">
        <v>3337</v>
      </c>
      <c r="F330" s="1776" t="s">
        <v>2411</v>
      </c>
      <c r="G330" s="1776" t="s">
        <v>22</v>
      </c>
      <c r="H330" s="1776" t="s">
        <v>22</v>
      </c>
      <c r="I330" s="1776" t="s">
        <v>806</v>
      </c>
    </row>
    <row r="331" spans="1:9" ht="11.25" customHeight="1">
      <c r="A331" s="1776" t="s">
        <v>2244</v>
      </c>
      <c r="B331" s="1776" t="s">
        <v>16</v>
      </c>
      <c r="C331" s="1776" t="s">
        <v>3338</v>
      </c>
      <c r="D331" s="1776" t="s">
        <v>3339</v>
      </c>
      <c r="E331" s="1776" t="s">
        <v>3340</v>
      </c>
      <c r="F331" s="1776" t="s">
        <v>2252</v>
      </c>
      <c r="G331" s="1776" t="s">
        <v>22</v>
      </c>
      <c r="H331" s="1776" t="s">
        <v>22</v>
      </c>
      <c r="I331" s="1776" t="s">
        <v>806</v>
      </c>
    </row>
    <row r="332" spans="1:9" ht="11.25" customHeight="1">
      <c r="A332" s="1776" t="s">
        <v>2244</v>
      </c>
      <c r="B332" s="1776" t="s">
        <v>16</v>
      </c>
      <c r="C332" s="1776" t="s">
        <v>3341</v>
      </c>
      <c r="D332" s="1776" t="s">
        <v>3342</v>
      </c>
      <c r="E332" s="1776" t="s">
        <v>3343</v>
      </c>
      <c r="F332" s="1776" t="s">
        <v>3344</v>
      </c>
      <c r="G332" s="1776" t="s">
        <v>3345</v>
      </c>
      <c r="H332" s="1776" t="s">
        <v>22</v>
      </c>
      <c r="I332" s="1776" t="s">
        <v>806</v>
      </c>
    </row>
    <row r="333" spans="1:9" ht="11.25" customHeight="1">
      <c r="A333" s="1776" t="s">
        <v>2244</v>
      </c>
      <c r="B333" s="1776" t="s">
        <v>16</v>
      </c>
      <c r="C333" s="1776" t="s">
        <v>3346</v>
      </c>
      <c r="D333" s="1776" t="s">
        <v>3347</v>
      </c>
      <c r="E333" s="1776" t="s">
        <v>3348</v>
      </c>
      <c r="F333" s="1776" t="s">
        <v>2679</v>
      </c>
      <c r="G333" s="1776" t="s">
        <v>3349</v>
      </c>
      <c r="H333" s="1776" t="s">
        <v>22</v>
      </c>
      <c r="I333" s="1776" t="s">
        <v>806</v>
      </c>
    </row>
    <row r="334" spans="1:9" ht="11.25" customHeight="1">
      <c r="A334" s="1776" t="s">
        <v>2244</v>
      </c>
      <c r="B334" s="1776" t="s">
        <v>16</v>
      </c>
      <c r="C334" s="1776" t="s">
        <v>3350</v>
      </c>
      <c r="D334" s="1776" t="s">
        <v>3351</v>
      </c>
      <c r="E334" s="1776" t="s">
        <v>3352</v>
      </c>
      <c r="F334" s="1776" t="s">
        <v>2252</v>
      </c>
      <c r="G334" s="1776" t="s">
        <v>22</v>
      </c>
      <c r="H334" s="1776" t="s">
        <v>22</v>
      </c>
      <c r="I334" s="1776" t="s">
        <v>806</v>
      </c>
    </row>
    <row r="335" spans="1:9" ht="11.25" customHeight="1">
      <c r="A335" s="1776" t="s">
        <v>2244</v>
      </c>
      <c r="B335" s="1776" t="s">
        <v>16</v>
      </c>
      <c r="C335" s="1776" t="s">
        <v>3353</v>
      </c>
      <c r="D335" s="1776" t="s">
        <v>3354</v>
      </c>
      <c r="E335" s="1776" t="s">
        <v>3355</v>
      </c>
      <c r="F335" s="1776" t="s">
        <v>2252</v>
      </c>
      <c r="G335" s="1776" t="s">
        <v>22</v>
      </c>
      <c r="H335" s="1776" t="s">
        <v>22</v>
      </c>
      <c r="I335" s="1776" t="s">
        <v>806</v>
      </c>
    </row>
    <row r="336" spans="1:9" ht="11.25" customHeight="1">
      <c r="A336" s="1776" t="s">
        <v>2244</v>
      </c>
      <c r="B336" s="1776" t="s">
        <v>16</v>
      </c>
      <c r="C336" s="1776" t="s">
        <v>3356</v>
      </c>
      <c r="D336" s="1776" t="s">
        <v>3357</v>
      </c>
      <c r="E336" s="1776" t="s">
        <v>3358</v>
      </c>
      <c r="F336" s="1776" t="s">
        <v>2527</v>
      </c>
      <c r="G336" s="1776" t="s">
        <v>22</v>
      </c>
      <c r="H336" s="1776" t="s">
        <v>22</v>
      </c>
      <c r="I336" s="1776" t="s">
        <v>806</v>
      </c>
    </row>
    <row r="337" spans="1:9" ht="11.25" customHeight="1">
      <c r="A337" s="1776" t="s">
        <v>2244</v>
      </c>
      <c r="B337" s="1776" t="s">
        <v>16</v>
      </c>
      <c r="C337" s="1776" t="s">
        <v>3359</v>
      </c>
      <c r="D337" s="1776" t="s">
        <v>3360</v>
      </c>
      <c r="E337" s="1776" t="s">
        <v>3361</v>
      </c>
      <c r="F337" s="1776" t="s">
        <v>2550</v>
      </c>
      <c r="G337" s="1776" t="s">
        <v>22</v>
      </c>
      <c r="H337" s="1776" t="s">
        <v>22</v>
      </c>
      <c r="I337" s="1776" t="s">
        <v>806</v>
      </c>
    </row>
    <row r="338" spans="1:9" ht="11.25" customHeight="1">
      <c r="A338" s="1776" t="s">
        <v>2244</v>
      </c>
      <c r="B338" s="1776" t="s">
        <v>16</v>
      </c>
      <c r="C338" s="1776" t="s">
        <v>3362</v>
      </c>
      <c r="D338" s="1776" t="s">
        <v>3363</v>
      </c>
      <c r="E338" s="1776" t="s">
        <v>3364</v>
      </c>
      <c r="F338" s="1776" t="s">
        <v>2446</v>
      </c>
      <c r="G338" s="1776" t="s">
        <v>22</v>
      </c>
      <c r="H338" s="1776" t="s">
        <v>22</v>
      </c>
      <c r="I338" s="1776" t="s">
        <v>806</v>
      </c>
    </row>
    <row r="339" spans="1:9" ht="11.25" customHeight="1">
      <c r="A339" s="1776" t="s">
        <v>2244</v>
      </c>
      <c r="B339" s="1776" t="s">
        <v>16</v>
      </c>
      <c r="C339" s="1776" t="s">
        <v>3365</v>
      </c>
      <c r="D339" s="1776" t="s">
        <v>3366</v>
      </c>
      <c r="E339" s="1776" t="s">
        <v>3367</v>
      </c>
      <c r="F339" s="1776" t="s">
        <v>2313</v>
      </c>
      <c r="G339" s="1776" t="s">
        <v>22</v>
      </c>
      <c r="H339" s="1776" t="s">
        <v>22</v>
      </c>
      <c r="I339" s="1776" t="s">
        <v>806</v>
      </c>
    </row>
    <row r="340" spans="1:9" ht="11.25" customHeight="1">
      <c r="A340" s="1776" t="s">
        <v>2244</v>
      </c>
      <c r="B340" s="1776" t="s">
        <v>16</v>
      </c>
      <c r="C340" s="1776" t="s">
        <v>3368</v>
      </c>
      <c r="D340" s="1776" t="s">
        <v>3369</v>
      </c>
      <c r="E340" s="1776" t="s">
        <v>3370</v>
      </c>
      <c r="F340" s="1776" t="s">
        <v>2550</v>
      </c>
      <c r="G340" s="1776" t="s">
        <v>22</v>
      </c>
      <c r="H340" s="1776" t="s">
        <v>22</v>
      </c>
      <c r="I340" s="1776" t="s">
        <v>806</v>
      </c>
    </row>
    <row r="341" spans="1:9" ht="11.25" customHeight="1">
      <c r="A341" s="1776" t="s">
        <v>2244</v>
      </c>
      <c r="B341" s="1776" t="s">
        <v>16</v>
      </c>
      <c r="C341" s="1776" t="s">
        <v>3371</v>
      </c>
      <c r="D341" s="1776" t="s">
        <v>3372</v>
      </c>
      <c r="E341" s="1776" t="s">
        <v>3373</v>
      </c>
      <c r="F341" s="1776" t="s">
        <v>2382</v>
      </c>
      <c r="G341" s="1776" t="s">
        <v>22</v>
      </c>
      <c r="H341" s="1776" t="s">
        <v>22</v>
      </c>
      <c r="I341" s="1776" t="s">
        <v>806</v>
      </c>
    </row>
    <row r="342" spans="1:9" ht="11.25" customHeight="1">
      <c r="A342" s="1776" t="s">
        <v>2244</v>
      </c>
      <c r="B342" s="1776" t="s">
        <v>16</v>
      </c>
      <c r="C342" s="1776" t="s">
        <v>3374</v>
      </c>
      <c r="D342" s="1776" t="s">
        <v>3375</v>
      </c>
      <c r="E342" s="1776" t="s">
        <v>3376</v>
      </c>
      <c r="F342" s="1776" t="s">
        <v>2473</v>
      </c>
      <c r="G342" s="1776" t="s">
        <v>22</v>
      </c>
      <c r="H342" s="1776" t="s">
        <v>22</v>
      </c>
      <c r="I342" s="1776" t="s">
        <v>806</v>
      </c>
    </row>
    <row r="343" spans="1:9" ht="11.25" customHeight="1">
      <c r="A343" s="1776" t="s">
        <v>2244</v>
      </c>
      <c r="B343" s="1776" t="s">
        <v>16</v>
      </c>
      <c r="C343" s="1776" t="s">
        <v>3377</v>
      </c>
      <c r="D343" s="1776" t="s">
        <v>3378</v>
      </c>
      <c r="E343" s="1776" t="s">
        <v>3379</v>
      </c>
      <c r="F343" s="1776" t="s">
        <v>2252</v>
      </c>
      <c r="G343" s="1776" t="s">
        <v>22</v>
      </c>
      <c r="H343" s="1776" t="s">
        <v>22</v>
      </c>
      <c r="I343" s="1776" t="s">
        <v>806</v>
      </c>
    </row>
    <row r="344" spans="1:9" ht="11.25" customHeight="1">
      <c r="A344" s="1776" t="s">
        <v>2244</v>
      </c>
      <c r="B344" s="1776" t="s">
        <v>16</v>
      </c>
      <c r="C344" s="1776" t="s">
        <v>3380</v>
      </c>
      <c r="D344" s="1776" t="s">
        <v>3381</v>
      </c>
      <c r="E344" s="1776" t="s">
        <v>3382</v>
      </c>
      <c r="F344" s="1776" t="s">
        <v>2309</v>
      </c>
      <c r="G344" s="1776" t="s">
        <v>22</v>
      </c>
      <c r="H344" s="1776" t="s">
        <v>22</v>
      </c>
      <c r="I344" s="1776" t="s">
        <v>806</v>
      </c>
    </row>
    <row r="345" spans="1:9" ht="11.25" customHeight="1">
      <c r="A345" s="1776" t="s">
        <v>2244</v>
      </c>
      <c r="B345" s="1776" t="s">
        <v>16</v>
      </c>
      <c r="C345" s="1776" t="s">
        <v>3383</v>
      </c>
      <c r="D345" s="1776" t="s">
        <v>3384</v>
      </c>
      <c r="E345" s="1776" t="s">
        <v>3385</v>
      </c>
      <c r="F345" s="1776" t="s">
        <v>2962</v>
      </c>
      <c r="G345" s="1776" t="s">
        <v>22</v>
      </c>
      <c r="H345" s="1776" t="s">
        <v>22</v>
      </c>
      <c r="I345" s="1776" t="s">
        <v>806</v>
      </c>
    </row>
    <row r="346" spans="1:9" ht="11.25" customHeight="1">
      <c r="A346" s="1776" t="s">
        <v>2244</v>
      </c>
      <c r="B346" s="1776" t="s">
        <v>16</v>
      </c>
      <c r="C346" s="1776" t="s">
        <v>3386</v>
      </c>
      <c r="D346" s="1776" t="s">
        <v>3387</v>
      </c>
      <c r="E346" s="1776" t="s">
        <v>3388</v>
      </c>
      <c r="F346" s="1776" t="s">
        <v>2294</v>
      </c>
      <c r="G346" s="1776" t="s">
        <v>22</v>
      </c>
      <c r="H346" s="1776" t="s">
        <v>22</v>
      </c>
      <c r="I346" s="1776" t="s">
        <v>806</v>
      </c>
    </row>
    <row r="347" spans="1:9" ht="11.25" customHeight="1">
      <c r="A347" s="1776" t="s">
        <v>2244</v>
      </c>
      <c r="B347" s="1776" t="s">
        <v>16</v>
      </c>
      <c r="C347" s="1776" t="s">
        <v>3389</v>
      </c>
      <c r="D347" s="1776" t="s">
        <v>3390</v>
      </c>
      <c r="E347" s="1776" t="s">
        <v>3391</v>
      </c>
      <c r="F347" s="1776" t="s">
        <v>2302</v>
      </c>
      <c r="G347" s="1776" t="s">
        <v>22</v>
      </c>
      <c r="H347" s="1776" t="s">
        <v>22</v>
      </c>
      <c r="I347" s="1776" t="s">
        <v>806</v>
      </c>
    </row>
    <row r="348" spans="1:9" ht="11.25" customHeight="1">
      <c r="A348" s="1776" t="s">
        <v>2244</v>
      </c>
      <c r="B348" s="1776" t="s">
        <v>16</v>
      </c>
      <c r="C348" s="1776" t="s">
        <v>3392</v>
      </c>
      <c r="D348" s="1776" t="s">
        <v>3393</v>
      </c>
      <c r="E348" s="1776" t="s">
        <v>3394</v>
      </c>
      <c r="F348" s="1776" t="s">
        <v>2887</v>
      </c>
      <c r="G348" s="1776" t="s">
        <v>22</v>
      </c>
      <c r="H348" s="1776" t="s">
        <v>22</v>
      </c>
      <c r="I348" s="1776" t="s">
        <v>806</v>
      </c>
    </row>
    <row r="349" spans="1:9" ht="11.25" customHeight="1">
      <c r="A349" s="1776" t="s">
        <v>2244</v>
      </c>
      <c r="B349" s="1776" t="s">
        <v>16</v>
      </c>
      <c r="C349" s="1776" t="s">
        <v>3395</v>
      </c>
      <c r="D349" s="1776" t="s">
        <v>3396</v>
      </c>
      <c r="E349" s="1776" t="s">
        <v>3397</v>
      </c>
      <c r="F349" s="1776" t="s">
        <v>2550</v>
      </c>
      <c r="G349" s="1776" t="s">
        <v>22</v>
      </c>
      <c r="H349" s="1776" t="s">
        <v>22</v>
      </c>
      <c r="I349" s="1776" t="s">
        <v>806</v>
      </c>
    </row>
    <row r="350" spans="1:9" ht="11.25" customHeight="1">
      <c r="A350" s="1776" t="s">
        <v>2244</v>
      </c>
      <c r="B350" s="1776" t="s">
        <v>16</v>
      </c>
      <c r="C350" s="1776" t="s">
        <v>3398</v>
      </c>
      <c r="D350" s="1776" t="s">
        <v>3399</v>
      </c>
      <c r="E350" s="1776" t="s">
        <v>3400</v>
      </c>
      <c r="F350" s="1776" t="s">
        <v>2313</v>
      </c>
      <c r="G350" s="1776" t="s">
        <v>22</v>
      </c>
      <c r="H350" s="1776" t="s">
        <v>22</v>
      </c>
      <c r="I350" s="1776" t="s">
        <v>806</v>
      </c>
    </row>
    <row r="351" spans="1:9" ht="11.25" customHeight="1">
      <c r="A351" s="1776" t="s">
        <v>2244</v>
      </c>
      <c r="B351" s="1776" t="s">
        <v>16</v>
      </c>
      <c r="C351" s="1776" t="s">
        <v>3401</v>
      </c>
      <c r="D351" s="1776" t="s">
        <v>3402</v>
      </c>
      <c r="E351" s="1776" t="s">
        <v>3403</v>
      </c>
      <c r="F351" s="1776" t="s">
        <v>2276</v>
      </c>
      <c r="G351" s="1776" t="s">
        <v>22</v>
      </c>
      <c r="H351" s="1776" t="s">
        <v>22</v>
      </c>
      <c r="I351" s="1776" t="s">
        <v>806</v>
      </c>
    </row>
    <row r="352" spans="1:9" ht="11.25" customHeight="1">
      <c r="A352" s="1776" t="s">
        <v>2244</v>
      </c>
      <c r="B352" s="1776" t="s">
        <v>16</v>
      </c>
      <c r="C352" s="1776" t="s">
        <v>3404</v>
      </c>
      <c r="D352" s="1776" t="s">
        <v>3405</v>
      </c>
      <c r="E352" s="1776" t="s">
        <v>3406</v>
      </c>
      <c r="F352" s="1776" t="s">
        <v>3298</v>
      </c>
      <c r="G352" s="1776" t="s">
        <v>22</v>
      </c>
      <c r="H352" s="1776" t="s">
        <v>22</v>
      </c>
      <c r="I352" s="1776" t="s">
        <v>806</v>
      </c>
    </row>
    <row r="353" spans="1:9" ht="11.25" customHeight="1">
      <c r="A353" s="1776" t="s">
        <v>2244</v>
      </c>
      <c r="B353" s="1776" t="s">
        <v>16</v>
      </c>
      <c r="C353" s="1776" t="s">
        <v>3407</v>
      </c>
      <c r="D353" s="1776" t="s">
        <v>3408</v>
      </c>
      <c r="E353" s="1776" t="s">
        <v>3409</v>
      </c>
      <c r="F353" s="1776" t="s">
        <v>2808</v>
      </c>
      <c r="G353" s="1776" t="s">
        <v>22</v>
      </c>
      <c r="H353" s="1776" t="s">
        <v>22</v>
      </c>
      <c r="I353" s="1776" t="s">
        <v>806</v>
      </c>
    </row>
    <row r="354" spans="1:9" ht="11.25" customHeight="1">
      <c r="A354" s="1776" t="s">
        <v>2244</v>
      </c>
      <c r="B354" s="1776" t="s">
        <v>16</v>
      </c>
      <c r="C354" s="1776" t="s">
        <v>3410</v>
      </c>
      <c r="D354" s="1776" t="s">
        <v>3411</v>
      </c>
      <c r="E354" s="1776" t="s">
        <v>3412</v>
      </c>
      <c r="F354" s="1776" t="s">
        <v>2287</v>
      </c>
      <c r="G354" s="1776" t="s">
        <v>22</v>
      </c>
      <c r="H354" s="1776" t="s">
        <v>22</v>
      </c>
      <c r="I354" s="1776" t="s">
        <v>806</v>
      </c>
    </row>
    <row r="355" spans="1:9" ht="11.25" customHeight="1">
      <c r="A355" s="1776" t="s">
        <v>2244</v>
      </c>
      <c r="B355" s="1776" t="s">
        <v>16</v>
      </c>
      <c r="C355" s="1776" t="s">
        <v>3413</v>
      </c>
      <c r="D355" s="1776" t="s">
        <v>3414</v>
      </c>
      <c r="E355" s="1776" t="s">
        <v>3415</v>
      </c>
      <c r="F355" s="1776" t="s">
        <v>2862</v>
      </c>
      <c r="G355" s="1776" t="s">
        <v>22</v>
      </c>
      <c r="H355" s="1776" t="s">
        <v>22</v>
      </c>
      <c r="I355" s="1776" t="s">
        <v>806</v>
      </c>
    </row>
    <row r="356" spans="1:9" ht="11.25" customHeight="1">
      <c r="A356" s="1776" t="s">
        <v>2244</v>
      </c>
      <c r="B356" s="1776" t="s">
        <v>16</v>
      </c>
      <c r="C356" s="1776" t="s">
        <v>3416</v>
      </c>
      <c r="D356" s="1776" t="s">
        <v>3417</v>
      </c>
      <c r="E356" s="1776" t="s">
        <v>3418</v>
      </c>
      <c r="F356" s="1776" t="s">
        <v>2962</v>
      </c>
      <c r="G356" s="1776" t="s">
        <v>22</v>
      </c>
      <c r="H356" s="1776" t="s">
        <v>22</v>
      </c>
      <c r="I356" s="1776" t="s">
        <v>806</v>
      </c>
    </row>
    <row r="357" spans="1:9" ht="11.25" customHeight="1">
      <c r="A357" s="1776" t="s">
        <v>2244</v>
      </c>
      <c r="B357" s="1776" t="s">
        <v>16</v>
      </c>
      <c r="C357" s="1776" t="s">
        <v>3419</v>
      </c>
      <c r="D357" s="1776" t="s">
        <v>3420</v>
      </c>
      <c r="E357" s="1776" t="s">
        <v>3421</v>
      </c>
      <c r="F357" s="1776" t="s">
        <v>3422</v>
      </c>
      <c r="G357" s="1776" t="s">
        <v>3423</v>
      </c>
      <c r="H357" s="1776" t="s">
        <v>22</v>
      </c>
      <c r="I357" s="1776" t="s">
        <v>806</v>
      </c>
    </row>
    <row r="358" spans="1:9" ht="11.25" customHeight="1">
      <c r="A358" s="1776" t="s">
        <v>2244</v>
      </c>
      <c r="B358" s="1776" t="s">
        <v>16</v>
      </c>
      <c r="C358" s="1776" t="s">
        <v>3424</v>
      </c>
      <c r="D358" s="1776" t="s">
        <v>3425</v>
      </c>
      <c r="E358" s="1776" t="s">
        <v>3426</v>
      </c>
      <c r="F358" s="1776" t="s">
        <v>2276</v>
      </c>
      <c r="G358" s="1776" t="s">
        <v>22</v>
      </c>
      <c r="H358" s="1776" t="s">
        <v>22</v>
      </c>
      <c r="I358" s="1776" t="s">
        <v>806</v>
      </c>
    </row>
    <row r="359" spans="1:9" ht="11.25" customHeight="1">
      <c r="A359" s="1776" t="s">
        <v>2244</v>
      </c>
      <c r="B359" s="1776" t="s">
        <v>16</v>
      </c>
      <c r="C359" s="1776" t="s">
        <v>3427</v>
      </c>
      <c r="D359" s="1776" t="s">
        <v>3428</v>
      </c>
      <c r="E359" s="1776" t="s">
        <v>3429</v>
      </c>
      <c r="F359" s="1776" t="s">
        <v>2309</v>
      </c>
      <c r="G359" s="1776" t="s">
        <v>22</v>
      </c>
      <c r="H359" s="1776" t="s">
        <v>22</v>
      </c>
      <c r="I359" s="1776" t="s">
        <v>806</v>
      </c>
    </row>
    <row r="360" spans="1:9" ht="11.25" customHeight="1">
      <c r="A360" s="1776" t="s">
        <v>2244</v>
      </c>
      <c r="B360" s="1776" t="s">
        <v>16</v>
      </c>
      <c r="C360" s="1776" t="s">
        <v>3430</v>
      </c>
      <c r="D360" s="1776" t="s">
        <v>3431</v>
      </c>
      <c r="E360" s="1776" t="s">
        <v>3432</v>
      </c>
      <c r="F360" s="1776" t="s">
        <v>3433</v>
      </c>
      <c r="G360" s="1776" t="s">
        <v>22</v>
      </c>
      <c r="H360" s="1776" t="s">
        <v>22</v>
      </c>
      <c r="I360" s="1776" t="s">
        <v>806</v>
      </c>
    </row>
    <row r="361" spans="1:9" ht="11.25" customHeight="1">
      <c r="A361" s="1776" t="s">
        <v>2244</v>
      </c>
      <c r="B361" s="1776" t="s">
        <v>16</v>
      </c>
      <c r="C361" s="1776" t="s">
        <v>3434</v>
      </c>
      <c r="D361" s="1776" t="s">
        <v>3435</v>
      </c>
      <c r="E361" s="1776" t="s">
        <v>3436</v>
      </c>
      <c r="F361" s="1776" t="s">
        <v>2527</v>
      </c>
      <c r="G361" s="1776" t="s">
        <v>22</v>
      </c>
      <c r="H361" s="1776" t="s">
        <v>22</v>
      </c>
      <c r="I361" s="1776" t="s">
        <v>806</v>
      </c>
    </row>
    <row r="362" spans="1:9" ht="11.25" customHeight="1">
      <c r="A362" s="1776" t="s">
        <v>2244</v>
      </c>
      <c r="B362" s="1776" t="s">
        <v>16</v>
      </c>
      <c r="C362" s="1776" t="s">
        <v>3437</v>
      </c>
      <c r="D362" s="1776" t="s">
        <v>3438</v>
      </c>
      <c r="E362" s="1776" t="s">
        <v>3439</v>
      </c>
      <c r="F362" s="1776" t="s">
        <v>2534</v>
      </c>
      <c r="G362" s="1776" t="s">
        <v>22</v>
      </c>
      <c r="H362" s="1776" t="s">
        <v>22</v>
      </c>
      <c r="I362" s="1776" t="s">
        <v>806</v>
      </c>
    </row>
    <row r="363" spans="1:9" ht="11.25" customHeight="1">
      <c r="A363" s="1776" t="s">
        <v>2244</v>
      </c>
      <c r="B363" s="1776" t="s">
        <v>16</v>
      </c>
      <c r="C363" s="1776" t="s">
        <v>3440</v>
      </c>
      <c r="D363" s="1776" t="s">
        <v>3441</v>
      </c>
      <c r="E363" s="1776" t="s">
        <v>3442</v>
      </c>
      <c r="F363" s="1776" t="s">
        <v>2294</v>
      </c>
      <c r="G363" s="1776" t="s">
        <v>22</v>
      </c>
      <c r="H363" s="1776" t="s">
        <v>22</v>
      </c>
      <c r="I363" s="1776" t="s">
        <v>806</v>
      </c>
    </row>
    <row r="364" spans="1:9" ht="11.25" customHeight="1">
      <c r="A364" s="1776" t="s">
        <v>2244</v>
      </c>
      <c r="B364" s="1776" t="s">
        <v>16</v>
      </c>
      <c r="C364" s="1776" t="s">
        <v>3443</v>
      </c>
      <c r="D364" s="1776" t="s">
        <v>3444</v>
      </c>
      <c r="E364" s="1776" t="s">
        <v>3445</v>
      </c>
      <c r="F364" s="1776" t="s">
        <v>2382</v>
      </c>
      <c r="G364" s="1776" t="s">
        <v>22</v>
      </c>
      <c r="H364" s="1776" t="s">
        <v>22</v>
      </c>
      <c r="I364" s="1776" t="s">
        <v>806</v>
      </c>
    </row>
    <row r="365" spans="1:9" ht="11.25" customHeight="1">
      <c r="A365" s="1776" t="s">
        <v>2244</v>
      </c>
      <c r="B365" s="1776" t="s">
        <v>16</v>
      </c>
      <c r="C365" s="1776" t="s">
        <v>3446</v>
      </c>
      <c r="D365" s="1776" t="s">
        <v>3447</v>
      </c>
      <c r="E365" s="1776" t="s">
        <v>3448</v>
      </c>
      <c r="F365" s="1776" t="s">
        <v>2302</v>
      </c>
      <c r="G365" s="1776" t="s">
        <v>22</v>
      </c>
      <c r="H365" s="1776" t="s">
        <v>22</v>
      </c>
      <c r="I365" s="1776" t="s">
        <v>806</v>
      </c>
    </row>
    <row r="366" spans="1:9" ht="11.25" customHeight="1">
      <c r="A366" s="1776" t="s">
        <v>2244</v>
      </c>
      <c r="B366" s="1776" t="s">
        <v>16</v>
      </c>
      <c r="C366" s="1776" t="s">
        <v>3449</v>
      </c>
      <c r="D366" s="1776" t="s">
        <v>3450</v>
      </c>
      <c r="E366" s="1776" t="s">
        <v>3451</v>
      </c>
      <c r="F366" s="1776" t="s">
        <v>2252</v>
      </c>
      <c r="G366" s="1776" t="s">
        <v>22</v>
      </c>
      <c r="H366" s="1776" t="s">
        <v>22</v>
      </c>
      <c r="I366" s="1776" t="s">
        <v>806</v>
      </c>
    </row>
    <row r="367" spans="1:9" ht="11.25" customHeight="1">
      <c r="A367" s="1776" t="s">
        <v>2244</v>
      </c>
      <c r="B367" s="1776" t="s">
        <v>16</v>
      </c>
      <c r="C367" s="1776" t="s">
        <v>3452</v>
      </c>
      <c r="D367" s="1776" t="s">
        <v>3453</v>
      </c>
      <c r="E367" s="1776" t="s">
        <v>3454</v>
      </c>
      <c r="F367" s="1776" t="s">
        <v>2323</v>
      </c>
      <c r="G367" s="1776" t="s">
        <v>22</v>
      </c>
      <c r="H367" s="1776" t="s">
        <v>22</v>
      </c>
      <c r="I367" s="1776" t="s">
        <v>806</v>
      </c>
    </row>
    <row r="368" spans="1:9" ht="11.25" customHeight="1">
      <c r="A368" s="1776" t="s">
        <v>2244</v>
      </c>
      <c r="B368" s="1776" t="s">
        <v>16</v>
      </c>
      <c r="C368" s="1776" t="s">
        <v>3455</v>
      </c>
      <c r="D368" s="1776" t="s">
        <v>3456</v>
      </c>
      <c r="E368" s="1776" t="s">
        <v>3457</v>
      </c>
      <c r="F368" s="1776" t="s">
        <v>2323</v>
      </c>
      <c r="G368" s="1776" t="s">
        <v>22</v>
      </c>
      <c r="H368" s="1776" t="s">
        <v>22</v>
      </c>
      <c r="I368" s="1776" t="s">
        <v>806</v>
      </c>
    </row>
    <row r="369" spans="1:9" ht="11.25" customHeight="1">
      <c r="A369" s="1776" t="s">
        <v>2244</v>
      </c>
      <c r="B369" s="1776" t="s">
        <v>16</v>
      </c>
      <c r="C369" s="1776" t="s">
        <v>3458</v>
      </c>
      <c r="D369" s="1776" t="s">
        <v>3459</v>
      </c>
      <c r="E369" s="1776" t="s">
        <v>3460</v>
      </c>
      <c r="F369" s="1776" t="s">
        <v>2523</v>
      </c>
      <c r="G369" s="1776" t="s">
        <v>22</v>
      </c>
      <c r="H369" s="1776" t="s">
        <v>22</v>
      </c>
      <c r="I369" s="1776" t="s">
        <v>806</v>
      </c>
    </row>
    <row r="370" spans="1:9" ht="11.25" customHeight="1">
      <c r="A370" s="1776" t="s">
        <v>2244</v>
      </c>
      <c r="B370" s="1776" t="s">
        <v>16</v>
      </c>
      <c r="C370" s="1776" t="s">
        <v>3461</v>
      </c>
      <c r="D370" s="1776" t="s">
        <v>3462</v>
      </c>
      <c r="E370" s="1776" t="s">
        <v>3463</v>
      </c>
      <c r="F370" s="1776" t="s">
        <v>2252</v>
      </c>
      <c r="G370" s="1776" t="s">
        <v>22</v>
      </c>
      <c r="H370" s="1776" t="s">
        <v>22</v>
      </c>
      <c r="I370" s="1776" t="s">
        <v>806</v>
      </c>
    </row>
    <row r="371" spans="1:9" ht="11.25" customHeight="1">
      <c r="A371" s="1776" t="s">
        <v>2244</v>
      </c>
      <c r="B371" s="1776" t="s">
        <v>16</v>
      </c>
      <c r="C371" s="1776" t="s">
        <v>3464</v>
      </c>
      <c r="D371" s="1776" t="s">
        <v>3465</v>
      </c>
      <c r="E371" s="1776" t="s">
        <v>3466</v>
      </c>
      <c r="F371" s="1776" t="s">
        <v>2323</v>
      </c>
      <c r="G371" s="1776" t="s">
        <v>3467</v>
      </c>
      <c r="H371" s="1776" t="s">
        <v>22</v>
      </c>
      <c r="I371" s="1776" t="s">
        <v>806</v>
      </c>
    </row>
    <row r="372" spans="1:9" ht="11.25" customHeight="1">
      <c r="A372" s="1776" t="s">
        <v>2244</v>
      </c>
      <c r="B372" s="1776" t="s">
        <v>16</v>
      </c>
      <c r="C372" s="1776" t="s">
        <v>3468</v>
      </c>
      <c r="D372" s="1776" t="s">
        <v>3469</v>
      </c>
      <c r="E372" s="1776" t="s">
        <v>3470</v>
      </c>
      <c r="F372" s="1776" t="s">
        <v>2257</v>
      </c>
      <c r="G372" s="1776" t="s">
        <v>22</v>
      </c>
      <c r="H372" s="1776" t="s">
        <v>22</v>
      </c>
      <c r="I372" s="1776" t="s">
        <v>806</v>
      </c>
    </row>
    <row r="373" spans="1:9" ht="11.25" customHeight="1">
      <c r="A373" s="1776" t="s">
        <v>2244</v>
      </c>
      <c r="B373" s="1776" t="s">
        <v>16</v>
      </c>
      <c r="C373" s="1776" t="s">
        <v>3471</v>
      </c>
      <c r="D373" s="1776" t="s">
        <v>3472</v>
      </c>
      <c r="E373" s="1776" t="s">
        <v>3473</v>
      </c>
      <c r="F373" s="1776" t="s">
        <v>2368</v>
      </c>
      <c r="G373" s="1776" t="s">
        <v>3474</v>
      </c>
      <c r="H373" s="1776" t="s">
        <v>22</v>
      </c>
      <c r="I373" s="1776" t="s">
        <v>806</v>
      </c>
    </row>
    <row r="374" spans="1:9" ht="11.25" customHeight="1">
      <c r="A374" s="1776" t="s">
        <v>2244</v>
      </c>
      <c r="B374" s="1776" t="s">
        <v>16</v>
      </c>
      <c r="C374" s="1776" t="s">
        <v>3475</v>
      </c>
      <c r="D374" s="1776" t="s">
        <v>3476</v>
      </c>
      <c r="E374" s="1776" t="s">
        <v>3477</v>
      </c>
      <c r="F374" s="1776" t="s">
        <v>2252</v>
      </c>
      <c r="G374" s="1776" t="s">
        <v>22</v>
      </c>
      <c r="H374" s="1776" t="s">
        <v>22</v>
      </c>
      <c r="I374" s="1776" t="s">
        <v>806</v>
      </c>
    </row>
    <row r="375" spans="1:9" ht="11.25" customHeight="1">
      <c r="A375" s="1776" t="s">
        <v>2244</v>
      </c>
      <c r="B375" s="1776" t="s">
        <v>16</v>
      </c>
      <c r="C375" s="1776" t="s">
        <v>3478</v>
      </c>
      <c r="D375" s="1776" t="s">
        <v>3479</v>
      </c>
      <c r="E375" s="1776" t="s">
        <v>3480</v>
      </c>
      <c r="F375" s="1776" t="s">
        <v>2446</v>
      </c>
      <c r="G375" s="1776" t="s">
        <v>22</v>
      </c>
      <c r="H375" s="1776" t="s">
        <v>22</v>
      </c>
      <c r="I375" s="1776" t="s">
        <v>806</v>
      </c>
    </row>
    <row r="376" spans="1:9" ht="11.25" customHeight="1">
      <c r="A376" s="1776" t="s">
        <v>2244</v>
      </c>
      <c r="B376" s="1776" t="s">
        <v>16</v>
      </c>
      <c r="C376" s="1776" t="s">
        <v>3481</v>
      </c>
      <c r="D376" s="1776" t="s">
        <v>3482</v>
      </c>
      <c r="E376" s="1776" t="s">
        <v>3483</v>
      </c>
      <c r="F376" s="1776" t="s">
        <v>2313</v>
      </c>
      <c r="G376" s="1776" t="s">
        <v>22</v>
      </c>
      <c r="H376" s="1776" t="s">
        <v>22</v>
      </c>
      <c r="I376" s="1776" t="s">
        <v>806</v>
      </c>
    </row>
    <row r="377" spans="1:9" ht="11.25" customHeight="1">
      <c r="A377" s="1776" t="s">
        <v>2244</v>
      </c>
      <c r="B377" s="1776" t="s">
        <v>16</v>
      </c>
      <c r="C377" s="1776" t="s">
        <v>3484</v>
      </c>
      <c r="D377" s="1776" t="s">
        <v>3485</v>
      </c>
      <c r="E377" s="1776" t="s">
        <v>3486</v>
      </c>
      <c r="F377" s="1776" t="s">
        <v>2252</v>
      </c>
      <c r="G377" s="1776" t="s">
        <v>22</v>
      </c>
      <c r="H377" s="1776" t="s">
        <v>22</v>
      </c>
      <c r="I377" s="1776" t="s">
        <v>806</v>
      </c>
    </row>
    <row r="378" spans="1:9" ht="11.25" customHeight="1">
      <c r="A378" s="1776" t="s">
        <v>2244</v>
      </c>
      <c r="B378" s="1776" t="s">
        <v>16</v>
      </c>
      <c r="C378" s="1776" t="s">
        <v>3487</v>
      </c>
      <c r="D378" s="1776" t="s">
        <v>3488</v>
      </c>
      <c r="E378" s="1776" t="s">
        <v>3489</v>
      </c>
      <c r="F378" s="1776" t="s">
        <v>2252</v>
      </c>
      <c r="G378" s="1776" t="s">
        <v>22</v>
      </c>
      <c r="H378" s="1776" t="s">
        <v>22</v>
      </c>
      <c r="I378" s="1776" t="s">
        <v>806</v>
      </c>
    </row>
    <row r="379" spans="1:9" ht="11.25" customHeight="1">
      <c r="A379" s="1776" t="s">
        <v>2244</v>
      </c>
      <c r="B379" s="1776" t="s">
        <v>16</v>
      </c>
      <c r="C379" s="1776" t="s">
        <v>3490</v>
      </c>
      <c r="D379" s="1776" t="s">
        <v>3491</v>
      </c>
      <c r="E379" s="1776" t="s">
        <v>3492</v>
      </c>
      <c r="F379" s="1776" t="s">
        <v>2252</v>
      </c>
      <c r="G379" s="1776" t="s">
        <v>22</v>
      </c>
      <c r="H379" s="1776" t="s">
        <v>22</v>
      </c>
      <c r="I379" s="1776" t="s">
        <v>806</v>
      </c>
    </row>
    <row r="380" spans="1:9" ht="11.25" customHeight="1">
      <c r="A380" s="1776" t="s">
        <v>2244</v>
      </c>
      <c r="B380" s="1776" t="s">
        <v>16</v>
      </c>
      <c r="C380" s="1776" t="s">
        <v>3493</v>
      </c>
      <c r="D380" s="1776" t="s">
        <v>3494</v>
      </c>
      <c r="E380" s="1776" t="s">
        <v>3495</v>
      </c>
      <c r="F380" s="1776" t="s">
        <v>2309</v>
      </c>
      <c r="G380" s="1776" t="s">
        <v>22</v>
      </c>
      <c r="H380" s="1776" t="s">
        <v>22</v>
      </c>
      <c r="I380" s="1776" t="s">
        <v>806</v>
      </c>
    </row>
    <row r="381" spans="1:9" ht="11.25" customHeight="1">
      <c r="A381" s="1776" t="s">
        <v>2244</v>
      </c>
      <c r="B381" s="1776" t="s">
        <v>16</v>
      </c>
      <c r="C381" s="1776" t="s">
        <v>3496</v>
      </c>
      <c r="D381" s="1776" t="s">
        <v>3497</v>
      </c>
      <c r="E381" s="1776" t="s">
        <v>3498</v>
      </c>
      <c r="F381" s="1776" t="s">
        <v>2252</v>
      </c>
      <c r="G381" s="1776" t="s">
        <v>3499</v>
      </c>
      <c r="H381" s="1776" t="s">
        <v>22</v>
      </c>
      <c r="I381" s="1776" t="s">
        <v>806</v>
      </c>
    </row>
    <row r="382" spans="1:9" ht="11.25" customHeight="1">
      <c r="A382" s="1776" t="s">
        <v>2244</v>
      </c>
      <c r="B382" s="1776" t="s">
        <v>16</v>
      </c>
      <c r="C382" s="1776" t="s">
        <v>3500</v>
      </c>
      <c r="D382" s="1776" t="s">
        <v>3501</v>
      </c>
      <c r="E382" s="1776" t="s">
        <v>3502</v>
      </c>
      <c r="F382" s="1776" t="s">
        <v>2294</v>
      </c>
      <c r="G382" s="1776" t="s">
        <v>22</v>
      </c>
      <c r="H382" s="1776" t="s">
        <v>22</v>
      </c>
      <c r="I382" s="1776" t="s">
        <v>806</v>
      </c>
    </row>
    <row r="383" spans="1:9" ht="11.25" customHeight="1">
      <c r="A383" s="1776" t="s">
        <v>2244</v>
      </c>
      <c r="B383" s="1776" t="s">
        <v>16</v>
      </c>
      <c r="C383" s="1776" t="s">
        <v>3503</v>
      </c>
      <c r="D383" s="1776" t="s">
        <v>3504</v>
      </c>
      <c r="E383" s="1776" t="s">
        <v>3505</v>
      </c>
      <c r="F383" s="1776" t="s">
        <v>2302</v>
      </c>
      <c r="G383" s="1776" t="s">
        <v>22</v>
      </c>
      <c r="H383" s="1776" t="s">
        <v>22</v>
      </c>
      <c r="I383" s="1776" t="s">
        <v>806</v>
      </c>
    </row>
    <row r="384" spans="1:9" ht="11.25" customHeight="1">
      <c r="A384" s="1776" t="s">
        <v>2244</v>
      </c>
      <c r="B384" s="1776" t="s">
        <v>16</v>
      </c>
      <c r="C384" s="1776" t="s">
        <v>3506</v>
      </c>
      <c r="D384" s="1776" t="s">
        <v>3507</v>
      </c>
      <c r="E384" s="1776" t="s">
        <v>3508</v>
      </c>
      <c r="F384" s="1776" t="s">
        <v>2631</v>
      </c>
      <c r="G384" s="1776" t="s">
        <v>22</v>
      </c>
      <c r="H384" s="1776" t="s">
        <v>22</v>
      </c>
      <c r="I384" s="1776" t="s">
        <v>806</v>
      </c>
    </row>
    <row r="385" spans="1:9" ht="11.25" customHeight="1">
      <c r="A385" s="1776" t="s">
        <v>2244</v>
      </c>
      <c r="B385" s="1776" t="s">
        <v>16</v>
      </c>
      <c r="C385" s="1776" t="s">
        <v>3509</v>
      </c>
      <c r="D385" s="1776" t="s">
        <v>3510</v>
      </c>
      <c r="E385" s="1776" t="s">
        <v>3511</v>
      </c>
      <c r="F385" s="1776" t="s">
        <v>2302</v>
      </c>
      <c r="G385" s="1776" t="s">
        <v>22</v>
      </c>
      <c r="H385" s="1776" t="s">
        <v>22</v>
      </c>
      <c r="I385" s="1776" t="s">
        <v>806</v>
      </c>
    </row>
    <row r="386" spans="1:9" ht="11.25" customHeight="1">
      <c r="A386" s="1776" t="s">
        <v>2244</v>
      </c>
      <c r="B386" s="1776" t="s">
        <v>16</v>
      </c>
      <c r="C386" s="1776" t="s">
        <v>3512</v>
      </c>
      <c r="D386" s="1776" t="s">
        <v>3513</v>
      </c>
      <c r="E386" s="1776" t="s">
        <v>3514</v>
      </c>
      <c r="F386" s="1776" t="s">
        <v>2473</v>
      </c>
      <c r="G386" s="1776" t="s">
        <v>22</v>
      </c>
      <c r="H386" s="1776" t="s">
        <v>22</v>
      </c>
      <c r="I386" s="1776" t="s">
        <v>806</v>
      </c>
    </row>
    <row r="387" spans="1:9" ht="11.25" customHeight="1">
      <c r="A387" s="1776" t="s">
        <v>2244</v>
      </c>
      <c r="B387" s="1776" t="s">
        <v>16</v>
      </c>
      <c r="C387" s="1776" t="s">
        <v>3515</v>
      </c>
      <c r="D387" s="1776" t="s">
        <v>3516</v>
      </c>
      <c r="E387" s="1776" t="s">
        <v>3517</v>
      </c>
      <c r="F387" s="1776" t="s">
        <v>2623</v>
      </c>
      <c r="G387" s="1776" t="s">
        <v>22</v>
      </c>
      <c r="H387" s="1776" t="s">
        <v>22</v>
      </c>
      <c r="I387" s="1776" t="s">
        <v>806</v>
      </c>
    </row>
    <row r="388" spans="1:9" ht="11.25" customHeight="1">
      <c r="A388" s="1776" t="s">
        <v>2244</v>
      </c>
      <c r="B388" s="1776" t="s">
        <v>16</v>
      </c>
      <c r="C388" s="1776" t="s">
        <v>3518</v>
      </c>
      <c r="D388" s="1776" t="s">
        <v>3519</v>
      </c>
      <c r="E388" s="1776" t="s">
        <v>3520</v>
      </c>
      <c r="F388" s="1776" t="s">
        <v>2382</v>
      </c>
      <c r="G388" s="1776" t="s">
        <v>22</v>
      </c>
      <c r="H388" s="1776" t="s">
        <v>22</v>
      </c>
      <c r="I388" s="1776" t="s">
        <v>806</v>
      </c>
    </row>
    <row r="389" spans="1:9" ht="11.25" customHeight="1">
      <c r="A389" s="1776" t="s">
        <v>2244</v>
      </c>
      <c r="B389" s="1776" t="s">
        <v>16</v>
      </c>
      <c r="C389" s="1776" t="s">
        <v>3521</v>
      </c>
      <c r="D389" s="1776" t="s">
        <v>3522</v>
      </c>
      <c r="E389" s="1776" t="s">
        <v>3523</v>
      </c>
      <c r="F389" s="1776" t="s">
        <v>2473</v>
      </c>
      <c r="G389" s="1776" t="s">
        <v>22</v>
      </c>
      <c r="H389" s="1776" t="s">
        <v>22</v>
      </c>
      <c r="I389" s="1776" t="s">
        <v>806</v>
      </c>
    </row>
    <row r="390" spans="1:9" ht="11.25" customHeight="1">
      <c r="A390" s="1776" t="s">
        <v>2244</v>
      </c>
      <c r="B390" s="1776" t="s">
        <v>16</v>
      </c>
      <c r="C390" s="1776" t="s">
        <v>3524</v>
      </c>
      <c r="D390" s="1776" t="s">
        <v>3525</v>
      </c>
      <c r="E390" s="1776" t="s">
        <v>3526</v>
      </c>
      <c r="F390" s="1776" t="s">
        <v>2257</v>
      </c>
      <c r="G390" s="1776" t="s">
        <v>22</v>
      </c>
      <c r="H390" s="1776" t="s">
        <v>22</v>
      </c>
      <c r="I390" s="1776" t="s">
        <v>806</v>
      </c>
    </row>
    <row r="391" spans="1:9" ht="11.25" customHeight="1">
      <c r="A391" s="1776" t="s">
        <v>2244</v>
      </c>
      <c r="B391" s="1776" t="s">
        <v>16</v>
      </c>
      <c r="C391" s="1776" t="s">
        <v>3527</v>
      </c>
      <c r="D391" s="1776" t="s">
        <v>3528</v>
      </c>
      <c r="E391" s="1776" t="s">
        <v>3529</v>
      </c>
      <c r="F391" s="1776" t="s">
        <v>2808</v>
      </c>
      <c r="G391" s="1776" t="s">
        <v>22</v>
      </c>
      <c r="H391" s="1776" t="s">
        <v>22</v>
      </c>
      <c r="I391" s="1776" t="s">
        <v>806</v>
      </c>
    </row>
    <row r="392" spans="1:9" ht="11.25" customHeight="1">
      <c r="A392" s="1776" t="s">
        <v>2244</v>
      </c>
      <c r="B392" s="1776" t="s">
        <v>16</v>
      </c>
      <c r="C392" s="1776" t="s">
        <v>3530</v>
      </c>
      <c r="D392" s="1776" t="s">
        <v>3531</v>
      </c>
      <c r="E392" s="1776" t="s">
        <v>3532</v>
      </c>
      <c r="F392" s="1776" t="s">
        <v>2252</v>
      </c>
      <c r="G392" s="1776" t="s">
        <v>3533</v>
      </c>
      <c r="H392" s="1776" t="s">
        <v>22</v>
      </c>
      <c r="I392" s="1776" t="s">
        <v>806</v>
      </c>
    </row>
    <row r="393" spans="1:9" ht="11.25" customHeight="1">
      <c r="A393" s="1776" t="s">
        <v>2244</v>
      </c>
      <c r="B393" s="1776" t="s">
        <v>16</v>
      </c>
      <c r="C393" s="1776" t="s">
        <v>3534</v>
      </c>
      <c r="D393" s="1776" t="s">
        <v>3535</v>
      </c>
      <c r="E393" s="1776" t="s">
        <v>3536</v>
      </c>
      <c r="F393" s="1776" t="s">
        <v>2382</v>
      </c>
      <c r="G393" s="1776" t="s">
        <v>22</v>
      </c>
      <c r="H393" s="1776" t="s">
        <v>22</v>
      </c>
      <c r="I393" s="1776" t="s">
        <v>806</v>
      </c>
    </row>
    <row r="394" spans="1:9" ht="11.25" customHeight="1">
      <c r="A394" s="1776" t="s">
        <v>2244</v>
      </c>
      <c r="B394" s="1776" t="s">
        <v>16</v>
      </c>
      <c r="C394" s="1776" t="s">
        <v>3537</v>
      </c>
      <c r="D394" s="1776" t="s">
        <v>3538</v>
      </c>
      <c r="E394" s="1776" t="s">
        <v>3539</v>
      </c>
      <c r="F394" s="1776" t="s">
        <v>2287</v>
      </c>
      <c r="G394" s="1776" t="s">
        <v>22</v>
      </c>
      <c r="H394" s="1776" t="s">
        <v>22</v>
      </c>
      <c r="I394" s="1776" t="s">
        <v>806</v>
      </c>
    </row>
    <row r="395" spans="1:9" ht="11.25" customHeight="1">
      <c r="A395" s="1776" t="s">
        <v>2244</v>
      </c>
      <c r="B395" s="1776" t="s">
        <v>16</v>
      </c>
      <c r="C395" s="1776" t="s">
        <v>3540</v>
      </c>
      <c r="D395" s="1776" t="s">
        <v>3541</v>
      </c>
      <c r="E395" s="1776" t="s">
        <v>3542</v>
      </c>
      <c r="F395" s="1776" t="s">
        <v>2294</v>
      </c>
      <c r="G395" s="1776" t="s">
        <v>22</v>
      </c>
      <c r="H395" s="1776" t="s">
        <v>22</v>
      </c>
      <c r="I395" s="1776" t="s">
        <v>806</v>
      </c>
    </row>
    <row r="396" spans="1:9" ht="11.25" customHeight="1">
      <c r="A396" s="1776" t="s">
        <v>2244</v>
      </c>
      <c r="B396" s="1776" t="s">
        <v>16</v>
      </c>
      <c r="C396" s="1776" t="s">
        <v>3543</v>
      </c>
      <c r="D396" s="1776" t="s">
        <v>3544</v>
      </c>
      <c r="E396" s="1776" t="s">
        <v>2297</v>
      </c>
      <c r="F396" s="1776" t="s">
        <v>3545</v>
      </c>
      <c r="G396" s="1776" t="s">
        <v>22</v>
      </c>
      <c r="H396" s="1776" t="s">
        <v>22</v>
      </c>
      <c r="I396" s="1776" t="s">
        <v>806</v>
      </c>
    </row>
    <row r="397" spans="1:9" ht="11.25" customHeight="1">
      <c r="A397" s="1776" t="s">
        <v>2244</v>
      </c>
      <c r="B397" s="1776" t="s">
        <v>16</v>
      </c>
      <c r="C397" s="1776" t="s">
        <v>3546</v>
      </c>
      <c r="D397" s="1776" t="s">
        <v>3547</v>
      </c>
      <c r="E397" s="1776" t="s">
        <v>3548</v>
      </c>
      <c r="F397" s="1776" t="s">
        <v>2252</v>
      </c>
      <c r="G397" s="1776" t="s">
        <v>3549</v>
      </c>
      <c r="H397" s="1776" t="s">
        <v>22</v>
      </c>
      <c r="I397" s="1776" t="s">
        <v>806</v>
      </c>
    </row>
    <row r="398" spans="1:9" ht="11.25" customHeight="1">
      <c r="A398" s="1776" t="s">
        <v>2244</v>
      </c>
      <c r="B398" s="1776" t="s">
        <v>16</v>
      </c>
      <c r="C398" s="1776" t="s">
        <v>3550</v>
      </c>
      <c r="D398" s="1776" t="s">
        <v>3551</v>
      </c>
      <c r="E398" s="1776" t="s">
        <v>3552</v>
      </c>
      <c r="F398" s="1776" t="s">
        <v>2679</v>
      </c>
      <c r="G398" s="1776" t="s">
        <v>22</v>
      </c>
      <c r="H398" s="1776" t="s">
        <v>22</v>
      </c>
      <c r="I398" s="1776" t="s">
        <v>806</v>
      </c>
    </row>
    <row r="399" spans="1:9" ht="11.25" customHeight="1">
      <c r="A399" s="1776" t="s">
        <v>2244</v>
      </c>
      <c r="B399" s="1776" t="s">
        <v>16</v>
      </c>
      <c r="C399" s="1776" t="s">
        <v>3553</v>
      </c>
      <c r="D399" s="1776" t="s">
        <v>3554</v>
      </c>
      <c r="E399" s="1776" t="s">
        <v>3555</v>
      </c>
      <c r="F399" s="1776" t="s">
        <v>2323</v>
      </c>
      <c r="G399" s="1776" t="s">
        <v>22</v>
      </c>
      <c r="H399" s="1776" t="s">
        <v>22</v>
      </c>
      <c r="I399" s="1776" t="s">
        <v>806</v>
      </c>
    </row>
    <row r="400" spans="1:9" ht="11.25" customHeight="1">
      <c r="A400" s="1776" t="s">
        <v>2244</v>
      </c>
      <c r="B400" s="1776" t="s">
        <v>16</v>
      </c>
      <c r="C400" s="1776" t="s">
        <v>3556</v>
      </c>
      <c r="D400" s="1776" t="s">
        <v>3557</v>
      </c>
      <c r="E400" s="1776" t="s">
        <v>3558</v>
      </c>
      <c r="F400" s="1776" t="s">
        <v>2302</v>
      </c>
      <c r="G400" s="1776" t="s">
        <v>22</v>
      </c>
      <c r="H400" s="1776" t="s">
        <v>22</v>
      </c>
      <c r="I400" s="1776" t="s">
        <v>806</v>
      </c>
    </row>
    <row r="401" spans="1:9" ht="11.25" customHeight="1">
      <c r="A401" s="1776" t="s">
        <v>2244</v>
      </c>
      <c r="B401" s="1776" t="s">
        <v>16</v>
      </c>
      <c r="C401" s="1776" t="s">
        <v>3559</v>
      </c>
      <c r="D401" s="1776" t="s">
        <v>3560</v>
      </c>
      <c r="E401" s="1776" t="s">
        <v>3561</v>
      </c>
      <c r="F401" s="1776" t="s">
        <v>2382</v>
      </c>
      <c r="G401" s="1776" t="s">
        <v>3562</v>
      </c>
      <c r="H401" s="1776" t="s">
        <v>22</v>
      </c>
      <c r="I401" s="1776" t="s">
        <v>806</v>
      </c>
    </row>
    <row r="402" spans="1:9" ht="11.25" customHeight="1">
      <c r="A402" s="1776" t="s">
        <v>2244</v>
      </c>
      <c r="B402" s="1776" t="s">
        <v>16</v>
      </c>
      <c r="C402" s="1776" t="s">
        <v>3563</v>
      </c>
      <c r="D402" s="1776" t="s">
        <v>3564</v>
      </c>
      <c r="E402" s="1776" t="s">
        <v>3565</v>
      </c>
      <c r="F402" s="1776" t="s">
        <v>2432</v>
      </c>
      <c r="G402" s="1776" t="s">
        <v>22</v>
      </c>
      <c r="H402" s="1776" t="s">
        <v>22</v>
      </c>
      <c r="I402" s="1776" t="s">
        <v>806</v>
      </c>
    </row>
    <row r="403" spans="1:9" ht="11.25" customHeight="1">
      <c r="A403" s="1776" t="s">
        <v>2244</v>
      </c>
      <c r="B403" s="1776" t="s">
        <v>16</v>
      </c>
      <c r="C403" s="1776" t="s">
        <v>3566</v>
      </c>
      <c r="D403" s="1776" t="s">
        <v>3567</v>
      </c>
      <c r="E403" s="1776" t="s">
        <v>3568</v>
      </c>
      <c r="F403" s="1776" t="s">
        <v>2302</v>
      </c>
      <c r="G403" s="1776" t="s">
        <v>22</v>
      </c>
      <c r="H403" s="1776" t="s">
        <v>22</v>
      </c>
      <c r="I403" s="1776" t="s">
        <v>806</v>
      </c>
    </row>
    <row r="404" spans="1:9" ht="11.25" customHeight="1">
      <c r="A404" s="1776" t="s">
        <v>2244</v>
      </c>
      <c r="B404" s="1776" t="s">
        <v>16</v>
      </c>
      <c r="C404" s="1776" t="s">
        <v>3569</v>
      </c>
      <c r="D404" s="1776" t="s">
        <v>3570</v>
      </c>
      <c r="E404" s="1776" t="s">
        <v>3571</v>
      </c>
      <c r="F404" s="1776" t="s">
        <v>2302</v>
      </c>
      <c r="G404" s="1776" t="s">
        <v>22</v>
      </c>
      <c r="H404" s="1776" t="s">
        <v>22</v>
      </c>
      <c r="I404" s="1776" t="s">
        <v>806</v>
      </c>
    </row>
    <row r="405" spans="1:9" ht="11.25" customHeight="1">
      <c r="A405" s="1776" t="s">
        <v>2244</v>
      </c>
      <c r="B405" s="1776" t="s">
        <v>16</v>
      </c>
      <c r="C405" s="1776" t="s">
        <v>3572</v>
      </c>
      <c r="D405" s="1776" t="s">
        <v>3573</v>
      </c>
      <c r="E405" s="1776" t="s">
        <v>3574</v>
      </c>
      <c r="F405" s="1776" t="s">
        <v>2623</v>
      </c>
      <c r="G405" s="1776" t="s">
        <v>22</v>
      </c>
      <c r="H405" s="1776" t="s">
        <v>22</v>
      </c>
      <c r="I405" s="1776" t="s">
        <v>806</v>
      </c>
    </row>
    <row r="406" spans="1:9" ht="11.25" customHeight="1">
      <c r="A406" s="1776" t="s">
        <v>2244</v>
      </c>
      <c r="B406" s="1776" t="s">
        <v>16</v>
      </c>
      <c r="C406" s="1776" t="s">
        <v>3575</v>
      </c>
      <c r="D406" s="1776" t="s">
        <v>3576</v>
      </c>
      <c r="E406" s="1776" t="s">
        <v>3577</v>
      </c>
      <c r="F406" s="1776" t="s">
        <v>2758</v>
      </c>
      <c r="G406" s="1776" t="s">
        <v>22</v>
      </c>
      <c r="H406" s="1776" t="s">
        <v>22</v>
      </c>
      <c r="I406" s="1776" t="s">
        <v>806</v>
      </c>
    </row>
    <row r="407" spans="1:9" ht="11.25" customHeight="1">
      <c r="A407" s="1776" t="s">
        <v>2244</v>
      </c>
      <c r="B407" s="1776" t="s">
        <v>16</v>
      </c>
      <c r="C407" s="1776" t="s">
        <v>3578</v>
      </c>
      <c r="D407" s="1776" t="s">
        <v>3579</v>
      </c>
      <c r="E407" s="1776" t="s">
        <v>3580</v>
      </c>
      <c r="F407" s="1776" t="s">
        <v>2631</v>
      </c>
      <c r="G407" s="1776" t="s">
        <v>22</v>
      </c>
      <c r="H407" s="1776" t="s">
        <v>22</v>
      </c>
      <c r="I407" s="1776" t="s">
        <v>806</v>
      </c>
    </row>
    <row r="408" spans="1:9" ht="11.25" customHeight="1">
      <c r="A408" s="1776" t="s">
        <v>2244</v>
      </c>
      <c r="B408" s="1776" t="s">
        <v>16</v>
      </c>
      <c r="C408" s="1776" t="s">
        <v>3581</v>
      </c>
      <c r="D408" s="1776" t="s">
        <v>3582</v>
      </c>
      <c r="E408" s="1776" t="s">
        <v>3583</v>
      </c>
      <c r="F408" s="1776" t="s">
        <v>2302</v>
      </c>
      <c r="G408" s="1776" t="s">
        <v>22</v>
      </c>
      <c r="H408" s="1776" t="s">
        <v>22</v>
      </c>
      <c r="I408" s="1776" t="s">
        <v>806</v>
      </c>
    </row>
    <row r="409" spans="1:9" ht="11.25" customHeight="1">
      <c r="A409" s="1776" t="s">
        <v>2244</v>
      </c>
      <c r="B409" s="1776" t="s">
        <v>16</v>
      </c>
      <c r="C409" s="1776" t="s">
        <v>3584</v>
      </c>
      <c r="D409" s="1776" t="s">
        <v>3585</v>
      </c>
      <c r="E409" s="1776" t="s">
        <v>3586</v>
      </c>
      <c r="F409" s="1776" t="s">
        <v>2446</v>
      </c>
      <c r="G409" s="1776" t="s">
        <v>22</v>
      </c>
      <c r="H409" s="1776" t="s">
        <v>22</v>
      </c>
      <c r="I409" s="1776" t="s">
        <v>806</v>
      </c>
    </row>
    <row r="410" spans="1:9" ht="11.25" customHeight="1">
      <c r="A410" s="1776" t="s">
        <v>2244</v>
      </c>
      <c r="B410" s="1776" t="s">
        <v>16</v>
      </c>
      <c r="C410" s="1776" t="s">
        <v>3587</v>
      </c>
      <c r="D410" s="1776" t="s">
        <v>3588</v>
      </c>
      <c r="E410" s="1776" t="s">
        <v>3589</v>
      </c>
      <c r="F410" s="1776" t="s">
        <v>2690</v>
      </c>
      <c r="G410" s="1776" t="s">
        <v>22</v>
      </c>
      <c r="H410" s="1776" t="s">
        <v>22</v>
      </c>
      <c r="I410" s="1776" t="s">
        <v>806</v>
      </c>
    </row>
    <row r="411" spans="1:9" ht="11.25" customHeight="1">
      <c r="A411" s="1776" t="s">
        <v>2244</v>
      </c>
      <c r="B411" s="1776" t="s">
        <v>16</v>
      </c>
      <c r="C411" s="1776" t="s">
        <v>22</v>
      </c>
      <c r="D411" s="1776" t="s">
        <v>3590</v>
      </c>
      <c r="E411" s="1776" t="s">
        <v>3591</v>
      </c>
      <c r="F411" s="1776" t="s">
        <v>2252</v>
      </c>
      <c r="G411" s="1776" t="s">
        <v>22</v>
      </c>
      <c r="H411" s="1776" t="s">
        <v>22</v>
      </c>
      <c r="I411" s="1776" t="s">
        <v>806</v>
      </c>
    </row>
    <row r="412" spans="1:9" ht="11.25" customHeight="1">
      <c r="A412" s="1776" t="s">
        <v>2244</v>
      </c>
      <c r="B412" s="1776" t="s">
        <v>16</v>
      </c>
      <c r="C412" s="1776" t="s">
        <v>3592</v>
      </c>
      <c r="D412" s="1776" t="s">
        <v>3593</v>
      </c>
      <c r="E412" s="1776" t="s">
        <v>3594</v>
      </c>
      <c r="F412" s="1776" t="s">
        <v>2930</v>
      </c>
      <c r="G412" s="1776" t="s">
        <v>22</v>
      </c>
      <c r="H412" s="1776" t="s">
        <v>22</v>
      </c>
      <c r="I412" s="1776" t="s">
        <v>806</v>
      </c>
    </row>
    <row r="413" spans="1:9" ht="11.25" customHeight="1">
      <c r="A413" s="1776" t="s">
        <v>2244</v>
      </c>
      <c r="B413" s="1776" t="s">
        <v>16</v>
      </c>
      <c r="C413" s="1776" t="s">
        <v>3595</v>
      </c>
      <c r="D413" s="1776" t="s">
        <v>3596</v>
      </c>
      <c r="E413" s="1776" t="s">
        <v>3597</v>
      </c>
      <c r="F413" s="1776" t="s">
        <v>2491</v>
      </c>
      <c r="G413" s="1776" t="s">
        <v>3598</v>
      </c>
      <c r="H413" s="1776" t="s">
        <v>22</v>
      </c>
      <c r="I413" s="1776" t="s">
        <v>806</v>
      </c>
    </row>
    <row r="414" spans="1:9" ht="11.25" customHeight="1">
      <c r="A414" s="1776" t="s">
        <v>2244</v>
      </c>
      <c r="B414" s="1776" t="s">
        <v>16</v>
      </c>
      <c r="C414" s="1776" t="s">
        <v>3599</v>
      </c>
      <c r="D414" s="1776" t="s">
        <v>3600</v>
      </c>
      <c r="E414" s="1776" t="s">
        <v>3601</v>
      </c>
      <c r="F414" s="1776" t="s">
        <v>2491</v>
      </c>
      <c r="G414" s="1776" t="s">
        <v>22</v>
      </c>
      <c r="H414" s="1776" t="s">
        <v>22</v>
      </c>
      <c r="I414" s="1776" t="s">
        <v>806</v>
      </c>
    </row>
    <row r="415" spans="1:9" ht="11.25" customHeight="1">
      <c r="A415" s="1776" t="s">
        <v>2244</v>
      </c>
      <c r="B415" s="1776" t="s">
        <v>16</v>
      </c>
      <c r="C415" s="1776" t="s">
        <v>3602</v>
      </c>
      <c r="D415" s="1776" t="s">
        <v>3603</v>
      </c>
      <c r="E415" s="1776" t="s">
        <v>3604</v>
      </c>
      <c r="F415" s="1776" t="s">
        <v>2252</v>
      </c>
      <c r="G415" s="1776" t="s">
        <v>22</v>
      </c>
      <c r="H415" s="1776" t="s">
        <v>22</v>
      </c>
      <c r="I415" s="1776" t="s">
        <v>806</v>
      </c>
    </row>
    <row r="416" spans="1:9" ht="11.25" customHeight="1">
      <c r="A416" s="1776" t="s">
        <v>2244</v>
      </c>
      <c r="B416" s="1776" t="s">
        <v>16</v>
      </c>
      <c r="C416" s="1776" t="s">
        <v>3605</v>
      </c>
      <c r="D416" s="1776" t="s">
        <v>3606</v>
      </c>
      <c r="E416" s="1776" t="s">
        <v>3607</v>
      </c>
      <c r="F416" s="1776" t="s">
        <v>2534</v>
      </c>
      <c r="G416" s="1776" t="s">
        <v>22</v>
      </c>
      <c r="H416" s="1776" t="s">
        <v>22</v>
      </c>
      <c r="I416" s="1776" t="s">
        <v>806</v>
      </c>
    </row>
    <row r="417" spans="1:9" ht="11.25" customHeight="1">
      <c r="A417" s="1776" t="s">
        <v>2244</v>
      </c>
      <c r="B417" s="1776" t="s">
        <v>16</v>
      </c>
      <c r="C417" s="1776" t="s">
        <v>3608</v>
      </c>
      <c r="D417" s="1776" t="s">
        <v>3609</v>
      </c>
      <c r="E417" s="1776" t="s">
        <v>3610</v>
      </c>
      <c r="F417" s="1776" t="s">
        <v>2252</v>
      </c>
      <c r="G417" s="1776" t="s">
        <v>22</v>
      </c>
      <c r="H417" s="1776" t="s">
        <v>22</v>
      </c>
      <c r="I417" s="1776" t="s">
        <v>806</v>
      </c>
    </row>
    <row r="418" spans="1:9" ht="11.25" customHeight="1">
      <c r="A418" s="1776" t="s">
        <v>2244</v>
      </c>
      <c r="B418" s="1776" t="s">
        <v>16</v>
      </c>
      <c r="C418" s="1776" t="s">
        <v>3611</v>
      </c>
      <c r="D418" s="1776" t="s">
        <v>3612</v>
      </c>
      <c r="E418" s="1776" t="s">
        <v>3613</v>
      </c>
      <c r="F418" s="1776" t="s">
        <v>3545</v>
      </c>
      <c r="G418" s="1776" t="s">
        <v>22</v>
      </c>
      <c r="H418" s="1776" t="s">
        <v>22</v>
      </c>
      <c r="I418" s="1776" t="s">
        <v>806</v>
      </c>
    </row>
    <row r="419" spans="1:9" ht="11.25" customHeight="1">
      <c r="A419" s="1776" t="s">
        <v>2244</v>
      </c>
      <c r="B419" s="1776" t="s">
        <v>16</v>
      </c>
      <c r="C419" s="1776" t="s">
        <v>3614</v>
      </c>
      <c r="D419" s="1776" t="s">
        <v>3612</v>
      </c>
      <c r="E419" s="1776" t="s">
        <v>3613</v>
      </c>
      <c r="F419" s="1776" t="s">
        <v>2428</v>
      </c>
      <c r="G419" s="1776" t="s">
        <v>22</v>
      </c>
      <c r="H419" s="1776" t="s">
        <v>22</v>
      </c>
      <c r="I419" s="1776" t="s">
        <v>806</v>
      </c>
    </row>
    <row r="420" spans="1:9" ht="11.25" customHeight="1">
      <c r="A420" s="1776" t="s">
        <v>2244</v>
      </c>
      <c r="B420" s="1776" t="s">
        <v>16</v>
      </c>
      <c r="C420" s="1776" t="s">
        <v>3615</v>
      </c>
      <c r="D420" s="1776" t="s">
        <v>3616</v>
      </c>
      <c r="E420" s="1776" t="s">
        <v>3617</v>
      </c>
      <c r="F420" s="1776" t="s">
        <v>2436</v>
      </c>
      <c r="G420" s="1776" t="s">
        <v>22</v>
      </c>
      <c r="H420" s="1776" t="s">
        <v>22</v>
      </c>
      <c r="I420" s="1776" t="s">
        <v>806</v>
      </c>
    </row>
    <row r="421" spans="1:9" ht="11.25" customHeight="1">
      <c r="A421" s="1776" t="s">
        <v>2244</v>
      </c>
      <c r="B421" s="1776" t="s">
        <v>16</v>
      </c>
      <c r="C421" s="1776" t="s">
        <v>3618</v>
      </c>
      <c r="D421" s="1776" t="s">
        <v>3619</v>
      </c>
      <c r="E421" s="1776" t="s">
        <v>3620</v>
      </c>
      <c r="F421" s="1776" t="s">
        <v>3621</v>
      </c>
      <c r="G421" s="1776" t="s">
        <v>22</v>
      </c>
      <c r="H421" s="1776" t="s">
        <v>22</v>
      </c>
      <c r="I421" s="1776" t="s">
        <v>806</v>
      </c>
    </row>
    <row r="422" spans="1:9" ht="11.25" customHeight="1">
      <c r="A422" s="1776" t="s">
        <v>2244</v>
      </c>
      <c r="B422" s="1776" t="s">
        <v>16</v>
      </c>
      <c r="C422" s="1776" t="s">
        <v>3622</v>
      </c>
      <c r="D422" s="1776" t="s">
        <v>3623</v>
      </c>
      <c r="E422" s="1776" t="s">
        <v>3624</v>
      </c>
      <c r="F422" s="1776" t="s">
        <v>2309</v>
      </c>
      <c r="G422" s="1776" t="s">
        <v>22</v>
      </c>
      <c r="H422" s="1776" t="s">
        <v>22</v>
      </c>
      <c r="I422" s="1776" t="s">
        <v>806</v>
      </c>
    </row>
    <row r="423" spans="1:9" ht="11.25" customHeight="1">
      <c r="A423" s="1776" t="s">
        <v>2244</v>
      </c>
      <c r="B423" s="1776" t="s">
        <v>16</v>
      </c>
      <c r="C423" s="1776" t="s">
        <v>3625</v>
      </c>
      <c r="D423" s="1776" t="s">
        <v>3626</v>
      </c>
      <c r="E423" s="1776" t="s">
        <v>3627</v>
      </c>
      <c r="F423" s="1776" t="s">
        <v>2446</v>
      </c>
      <c r="G423" s="1776" t="s">
        <v>3628</v>
      </c>
      <c r="H423" s="1776" t="s">
        <v>22</v>
      </c>
      <c r="I423" s="1776" t="s">
        <v>806</v>
      </c>
    </row>
    <row r="424" spans="1:9" ht="11.25" customHeight="1">
      <c r="A424" s="1776" t="s">
        <v>2244</v>
      </c>
      <c r="B424" s="1776" t="s">
        <v>16</v>
      </c>
      <c r="C424" s="1776" t="s">
        <v>3629</v>
      </c>
      <c r="D424" s="1776" t="s">
        <v>3630</v>
      </c>
      <c r="E424" s="1776" t="s">
        <v>3631</v>
      </c>
      <c r="F424" s="1776" t="s">
        <v>2631</v>
      </c>
      <c r="G424" s="1776" t="s">
        <v>3632</v>
      </c>
      <c r="H424" s="1776" t="s">
        <v>22</v>
      </c>
      <c r="I424" s="1776" t="s">
        <v>806</v>
      </c>
    </row>
    <row r="425" spans="1:9" ht="11.25" customHeight="1">
      <c r="A425" s="1776" t="s">
        <v>2244</v>
      </c>
      <c r="B425" s="1776" t="s">
        <v>16</v>
      </c>
      <c r="C425" s="1776" t="s">
        <v>3633</v>
      </c>
      <c r="D425" s="1776" t="s">
        <v>3634</v>
      </c>
      <c r="E425" s="1776" t="s">
        <v>3635</v>
      </c>
      <c r="F425" s="1776" t="s">
        <v>2507</v>
      </c>
      <c r="G425" s="1776" t="s">
        <v>22</v>
      </c>
      <c r="H425" s="1776" t="s">
        <v>22</v>
      </c>
      <c r="I425" s="1776" t="s">
        <v>806</v>
      </c>
    </row>
    <row r="426" spans="1:9" ht="11.25" customHeight="1">
      <c r="A426" s="1776" t="s">
        <v>2244</v>
      </c>
      <c r="B426" s="1776" t="s">
        <v>16</v>
      </c>
      <c r="C426" s="1776" t="s">
        <v>3636</v>
      </c>
      <c r="D426" s="1776" t="s">
        <v>3637</v>
      </c>
      <c r="E426" s="1776" t="s">
        <v>3638</v>
      </c>
      <c r="F426" s="1776" t="s">
        <v>2701</v>
      </c>
      <c r="G426" s="1776" t="s">
        <v>22</v>
      </c>
      <c r="H426" s="1776" t="s">
        <v>22</v>
      </c>
      <c r="I426" s="1776" t="s">
        <v>806</v>
      </c>
    </row>
    <row r="427" spans="1:9" ht="11.25" customHeight="1">
      <c r="A427" s="1776" t="s">
        <v>2244</v>
      </c>
      <c r="B427" s="1776" t="s">
        <v>16</v>
      </c>
      <c r="C427" s="1776" t="s">
        <v>3639</v>
      </c>
      <c r="D427" s="1776" t="s">
        <v>3640</v>
      </c>
      <c r="E427" s="1776" t="s">
        <v>3641</v>
      </c>
      <c r="F427" s="1776" t="s">
        <v>2519</v>
      </c>
      <c r="G427" s="1776" t="s">
        <v>3628</v>
      </c>
      <c r="H427" s="1776" t="s">
        <v>22</v>
      </c>
      <c r="I427" s="1776" t="s">
        <v>806</v>
      </c>
    </row>
    <row r="428" spans="1:9" ht="11.25" customHeight="1">
      <c r="A428" s="1776" t="s">
        <v>2244</v>
      </c>
      <c r="B428" s="1776" t="s">
        <v>16</v>
      </c>
      <c r="C428" s="1776" t="s">
        <v>3642</v>
      </c>
      <c r="D428" s="1776" t="s">
        <v>3643</v>
      </c>
      <c r="E428" s="1776" t="s">
        <v>3644</v>
      </c>
      <c r="F428" s="1776" t="s">
        <v>2519</v>
      </c>
      <c r="G428" s="1776" t="s">
        <v>22</v>
      </c>
      <c r="H428" s="1776" t="s">
        <v>22</v>
      </c>
      <c r="I428" s="1776" t="s">
        <v>806</v>
      </c>
    </row>
    <row r="429" spans="1:9" ht="11.25" customHeight="1">
      <c r="A429" s="1776" t="s">
        <v>2244</v>
      </c>
      <c r="B429" s="1776" t="s">
        <v>16</v>
      </c>
      <c r="C429" s="1776" t="s">
        <v>3645</v>
      </c>
      <c r="D429" s="1776" t="s">
        <v>3646</v>
      </c>
      <c r="E429" s="1776" t="s">
        <v>3647</v>
      </c>
      <c r="F429" s="1776" t="s">
        <v>2646</v>
      </c>
      <c r="G429" s="1776" t="s">
        <v>22</v>
      </c>
      <c r="H429" s="1776" t="s">
        <v>22</v>
      </c>
      <c r="I429" s="1776" t="s">
        <v>806</v>
      </c>
    </row>
    <row r="430" spans="1:9" ht="11.25" customHeight="1">
      <c r="A430" s="1776" t="s">
        <v>2244</v>
      </c>
      <c r="B430" s="1776" t="s">
        <v>16</v>
      </c>
      <c r="C430" s="1776" t="s">
        <v>3648</v>
      </c>
      <c r="D430" s="1776" t="s">
        <v>3649</v>
      </c>
      <c r="E430" s="1776" t="s">
        <v>3650</v>
      </c>
      <c r="F430" s="1776" t="s">
        <v>2631</v>
      </c>
      <c r="G430" s="1776" t="s">
        <v>3651</v>
      </c>
      <c r="H430" s="1776" t="s">
        <v>22</v>
      </c>
      <c r="I430" s="1776" t="s">
        <v>806</v>
      </c>
    </row>
    <row r="431" spans="1:9" ht="11.25" customHeight="1">
      <c r="A431" s="1776" t="s">
        <v>2244</v>
      </c>
      <c r="B431" s="1776" t="s">
        <v>16</v>
      </c>
      <c r="C431" s="1776" t="s">
        <v>3652</v>
      </c>
      <c r="D431" s="1776" t="s">
        <v>3653</v>
      </c>
      <c r="E431" s="1776" t="s">
        <v>3654</v>
      </c>
      <c r="F431" s="1776" t="s">
        <v>2302</v>
      </c>
      <c r="G431" s="1776" t="s">
        <v>22</v>
      </c>
      <c r="H431" s="1776" t="s">
        <v>22</v>
      </c>
      <c r="I431" s="1776" t="s">
        <v>806</v>
      </c>
    </row>
    <row r="432" spans="1:9" ht="11.25" customHeight="1">
      <c r="A432" s="1776" t="s">
        <v>2244</v>
      </c>
      <c r="B432" s="1776" t="s">
        <v>16</v>
      </c>
      <c r="C432" s="1776" t="s">
        <v>3655</v>
      </c>
      <c r="D432" s="1776" t="s">
        <v>3656</v>
      </c>
      <c r="E432" s="1776" t="s">
        <v>3657</v>
      </c>
      <c r="F432" s="1776" t="s">
        <v>3302</v>
      </c>
      <c r="G432" s="1776" t="s">
        <v>22</v>
      </c>
      <c r="H432" s="1776" t="s">
        <v>22</v>
      </c>
      <c r="I432" s="1776" t="s">
        <v>806</v>
      </c>
    </row>
    <row r="433" spans="1:9" ht="11.25" customHeight="1">
      <c r="A433" s="1776" t="s">
        <v>2244</v>
      </c>
      <c r="B433" s="1776" t="s">
        <v>16</v>
      </c>
      <c r="C433" s="1776" t="s">
        <v>3658</v>
      </c>
      <c r="D433" s="1776" t="s">
        <v>3659</v>
      </c>
      <c r="E433" s="1776" t="s">
        <v>3660</v>
      </c>
      <c r="F433" s="1776" t="s">
        <v>3661</v>
      </c>
      <c r="G433" s="1776" t="s">
        <v>22</v>
      </c>
      <c r="H433" s="1776" t="s">
        <v>22</v>
      </c>
      <c r="I433" s="1776" t="s">
        <v>806</v>
      </c>
    </row>
    <row r="434" spans="1:9" ht="11.25" customHeight="1">
      <c r="A434" s="1776" t="s">
        <v>2244</v>
      </c>
      <c r="B434" s="1776" t="s">
        <v>16</v>
      </c>
      <c r="C434" s="1776" t="s">
        <v>3662</v>
      </c>
      <c r="D434" s="1776" t="s">
        <v>3663</v>
      </c>
      <c r="E434" s="1776" t="s">
        <v>2247</v>
      </c>
      <c r="F434" s="1776" t="s">
        <v>3664</v>
      </c>
      <c r="G434" s="1776" t="s">
        <v>22</v>
      </c>
      <c r="H434" s="1776" t="s">
        <v>22</v>
      </c>
      <c r="I434" s="1776" t="s">
        <v>806</v>
      </c>
    </row>
    <row r="435" spans="1:9" ht="11.25" customHeight="1">
      <c r="A435" s="1776" t="s">
        <v>2244</v>
      </c>
      <c r="B435" s="1776" t="s">
        <v>16</v>
      </c>
      <c r="C435" s="1776" t="s">
        <v>3665</v>
      </c>
      <c r="D435" s="1776" t="s">
        <v>3666</v>
      </c>
      <c r="E435" s="1776" t="s">
        <v>2247</v>
      </c>
      <c r="F435" s="1776" t="s">
        <v>3667</v>
      </c>
      <c r="G435" s="1776" t="s">
        <v>22</v>
      </c>
      <c r="H435" s="1776" t="s">
        <v>22</v>
      </c>
      <c r="I435" s="1776" t="s">
        <v>806</v>
      </c>
    </row>
    <row r="436" spans="1:9" ht="11.25" customHeight="1">
      <c r="A436" s="1776" t="s">
        <v>2244</v>
      </c>
      <c r="B436" s="1776" t="s">
        <v>16</v>
      </c>
      <c r="C436" s="1776" t="s">
        <v>3668</v>
      </c>
      <c r="D436" s="1776" t="s">
        <v>3669</v>
      </c>
      <c r="E436" s="1776" t="s">
        <v>3670</v>
      </c>
      <c r="F436" s="1776" t="s">
        <v>3671</v>
      </c>
      <c r="G436" s="1776" t="s">
        <v>22</v>
      </c>
      <c r="H436" s="1776" t="s">
        <v>22</v>
      </c>
      <c r="I436" s="1776" t="s">
        <v>806</v>
      </c>
    </row>
    <row r="437" spans="1:9" ht="11.25" customHeight="1">
      <c r="A437" s="1776" t="s">
        <v>2244</v>
      </c>
      <c r="B437" s="1776" t="s">
        <v>16</v>
      </c>
      <c r="C437" s="1776" t="s">
        <v>3672</v>
      </c>
      <c r="D437" s="1776" t="s">
        <v>3673</v>
      </c>
      <c r="E437" s="1776" t="s">
        <v>3617</v>
      </c>
      <c r="F437" s="1776" t="s">
        <v>3674</v>
      </c>
      <c r="G437" s="1776" t="s">
        <v>22</v>
      </c>
      <c r="H437" s="1776" t="s">
        <v>22</v>
      </c>
      <c r="I437" s="1776" t="s">
        <v>806</v>
      </c>
    </row>
    <row r="438" spans="1:9" ht="11.25" customHeight="1">
      <c r="A438" s="1776" t="s">
        <v>2244</v>
      </c>
      <c r="B438" s="1776" t="s">
        <v>16</v>
      </c>
      <c r="C438" s="1776" t="s">
        <v>3675</v>
      </c>
      <c r="D438" s="1776" t="s">
        <v>3676</v>
      </c>
      <c r="E438" s="1776" t="s">
        <v>2247</v>
      </c>
      <c r="F438" s="1776" t="s">
        <v>3677</v>
      </c>
      <c r="G438" s="1776" t="s">
        <v>22</v>
      </c>
      <c r="H438" s="1776" t="s">
        <v>22</v>
      </c>
      <c r="I438" s="1776" t="s">
        <v>806</v>
      </c>
    </row>
    <row r="439" spans="1:9" ht="11.25" customHeight="1">
      <c r="A439" s="1776" t="s">
        <v>2244</v>
      </c>
      <c r="B439" s="1776" t="s">
        <v>16</v>
      </c>
      <c r="C439" s="1776" t="s">
        <v>2249</v>
      </c>
      <c r="D439" s="1776" t="s">
        <v>2250</v>
      </c>
      <c r="E439" s="1776" t="s">
        <v>2251</v>
      </c>
      <c r="F439" s="1776" t="s">
        <v>2252</v>
      </c>
      <c r="G439" s="1776" t="s">
        <v>2253</v>
      </c>
      <c r="H439" s="1776" t="s">
        <v>22</v>
      </c>
      <c r="I439" s="1776" t="s">
        <v>892</v>
      </c>
    </row>
    <row r="440" spans="1:9" ht="11.25" customHeight="1">
      <c r="A440" s="1776" t="s">
        <v>2244</v>
      </c>
      <c r="B440" s="1776" t="s">
        <v>16</v>
      </c>
      <c r="C440" s="1776" t="s">
        <v>2263</v>
      </c>
      <c r="D440" s="1776" t="s">
        <v>2264</v>
      </c>
      <c r="E440" s="1776" t="s">
        <v>2265</v>
      </c>
      <c r="F440" s="1776" t="s">
        <v>2266</v>
      </c>
      <c r="G440" s="1776" t="s">
        <v>22</v>
      </c>
      <c r="H440" s="1776" t="s">
        <v>22</v>
      </c>
      <c r="I440" s="1776" t="s">
        <v>892</v>
      </c>
    </row>
    <row r="441" spans="1:9" ht="11.25" customHeight="1">
      <c r="A441" s="1776" t="s">
        <v>2244</v>
      </c>
      <c r="B441" s="1776" t="s">
        <v>16</v>
      </c>
      <c r="C441" s="1776" t="s">
        <v>2277</v>
      </c>
      <c r="D441" s="1776" t="s">
        <v>2278</v>
      </c>
      <c r="E441" s="1776" t="s">
        <v>2279</v>
      </c>
      <c r="F441" s="1776" t="s">
        <v>2280</v>
      </c>
      <c r="G441" s="1776" t="s">
        <v>22</v>
      </c>
      <c r="H441" s="1776" t="s">
        <v>22</v>
      </c>
      <c r="I441" s="1776" t="s">
        <v>892</v>
      </c>
    </row>
    <row r="442" spans="1:9" ht="11.25" customHeight="1">
      <c r="A442" s="1776" t="s">
        <v>2244</v>
      </c>
      <c r="B442" s="1776" t="s">
        <v>16</v>
      </c>
      <c r="C442" s="1776" t="s">
        <v>2284</v>
      </c>
      <c r="D442" s="1776" t="s">
        <v>2285</v>
      </c>
      <c r="E442" s="1776" t="s">
        <v>2286</v>
      </c>
      <c r="F442" s="1776" t="s">
        <v>2287</v>
      </c>
      <c r="G442" s="1776" t="s">
        <v>22</v>
      </c>
      <c r="H442" s="1776" t="s">
        <v>22</v>
      </c>
      <c r="I442" s="1776" t="s">
        <v>892</v>
      </c>
    </row>
    <row r="443" spans="1:9" ht="11.25" customHeight="1">
      <c r="A443" s="1776" t="s">
        <v>2244</v>
      </c>
      <c r="B443" s="1776" t="s">
        <v>16</v>
      </c>
      <c r="C443" s="1776" t="s">
        <v>2288</v>
      </c>
      <c r="D443" s="1776" t="s">
        <v>2289</v>
      </c>
      <c r="E443" s="1776" t="s">
        <v>2290</v>
      </c>
      <c r="F443" s="1776" t="s">
        <v>2280</v>
      </c>
      <c r="G443" s="1776" t="s">
        <v>22</v>
      </c>
      <c r="H443" s="1776" t="s">
        <v>22</v>
      </c>
      <c r="I443" s="1776" t="s">
        <v>892</v>
      </c>
    </row>
    <row r="444" spans="1:9" ht="11.25" customHeight="1">
      <c r="A444" s="1776" t="s">
        <v>2244</v>
      </c>
      <c r="B444" s="1776" t="s">
        <v>16</v>
      </c>
      <c r="C444" s="1776" t="s">
        <v>2291</v>
      </c>
      <c r="D444" s="1776" t="s">
        <v>2292</v>
      </c>
      <c r="E444" s="1776" t="s">
        <v>2293</v>
      </c>
      <c r="F444" s="1776" t="s">
        <v>2294</v>
      </c>
      <c r="G444" s="1776" t="s">
        <v>22</v>
      </c>
      <c r="H444" s="1776" t="s">
        <v>22</v>
      </c>
      <c r="I444" s="1776" t="s">
        <v>892</v>
      </c>
    </row>
    <row r="445" spans="1:9" ht="11.25" customHeight="1">
      <c r="A445" s="1776" t="s">
        <v>2244</v>
      </c>
      <c r="B445" s="1776" t="s">
        <v>16</v>
      </c>
      <c r="C445" s="1776" t="s">
        <v>2295</v>
      </c>
      <c r="D445" s="1776" t="s">
        <v>2296</v>
      </c>
      <c r="E445" s="1776" t="s">
        <v>2297</v>
      </c>
      <c r="F445" s="1776" t="s">
        <v>2298</v>
      </c>
      <c r="G445" s="1776" t="s">
        <v>22</v>
      </c>
      <c r="H445" s="1776" t="s">
        <v>22</v>
      </c>
      <c r="I445" s="1776" t="s">
        <v>892</v>
      </c>
    </row>
    <row r="446" spans="1:9" ht="11.25" customHeight="1">
      <c r="A446" s="1776" t="s">
        <v>2244</v>
      </c>
      <c r="B446" s="1776" t="s">
        <v>16</v>
      </c>
      <c r="C446" s="1776" t="s">
        <v>2310</v>
      </c>
      <c r="D446" s="1776" t="s">
        <v>2311</v>
      </c>
      <c r="E446" s="1776" t="s">
        <v>2312</v>
      </c>
      <c r="F446" s="1776" t="s">
        <v>2313</v>
      </c>
      <c r="G446" s="1776" t="s">
        <v>22</v>
      </c>
      <c r="H446" s="1776" t="s">
        <v>22</v>
      </c>
      <c r="I446" s="1776" t="s">
        <v>892</v>
      </c>
    </row>
    <row r="447" spans="1:9" ht="11.25" customHeight="1">
      <c r="A447" s="1776" t="s">
        <v>2244</v>
      </c>
      <c r="B447" s="1776" t="s">
        <v>16</v>
      </c>
      <c r="C447" s="1776" t="s">
        <v>2317</v>
      </c>
      <c r="D447" s="1776" t="s">
        <v>2318</v>
      </c>
      <c r="E447" s="1776" t="s">
        <v>2319</v>
      </c>
      <c r="F447" s="1776" t="s">
        <v>2276</v>
      </c>
      <c r="G447" s="1776" t="s">
        <v>22</v>
      </c>
      <c r="H447" s="1776" t="s">
        <v>22</v>
      </c>
      <c r="I447" s="1776" t="s">
        <v>892</v>
      </c>
    </row>
    <row r="448" spans="1:9" ht="11.25" customHeight="1">
      <c r="A448" s="1776" t="s">
        <v>2244</v>
      </c>
      <c r="B448" s="1776" t="s">
        <v>16</v>
      </c>
      <c r="C448" s="1776" t="s">
        <v>2331</v>
      </c>
      <c r="D448" s="1776" t="s">
        <v>2332</v>
      </c>
      <c r="E448" s="1776" t="s">
        <v>2333</v>
      </c>
      <c r="F448" s="1776" t="s">
        <v>2266</v>
      </c>
      <c r="G448" s="1776" t="s">
        <v>22</v>
      </c>
      <c r="H448" s="1776" t="s">
        <v>22</v>
      </c>
      <c r="I448" s="1776" t="s">
        <v>892</v>
      </c>
    </row>
    <row r="449" spans="1:9" ht="11.25" customHeight="1">
      <c r="A449" s="1776" t="s">
        <v>2244</v>
      </c>
      <c r="B449" s="1776" t="s">
        <v>16</v>
      </c>
      <c r="C449" s="1776" t="s">
        <v>2341</v>
      </c>
      <c r="D449" s="1776" t="s">
        <v>2342</v>
      </c>
      <c r="E449" s="1776" t="s">
        <v>2343</v>
      </c>
      <c r="F449" s="1776" t="s">
        <v>2344</v>
      </c>
      <c r="G449" s="1776" t="s">
        <v>2345</v>
      </c>
      <c r="H449" s="1776" t="s">
        <v>22</v>
      </c>
      <c r="I449" s="1776" t="s">
        <v>892</v>
      </c>
    </row>
    <row r="450" spans="1:9" ht="11.25" customHeight="1">
      <c r="A450" s="1776" t="s">
        <v>2244</v>
      </c>
      <c r="B450" s="1776" t="s">
        <v>16</v>
      </c>
      <c r="C450" s="1776" t="s">
        <v>2352</v>
      </c>
      <c r="D450" s="1776" t="s">
        <v>2353</v>
      </c>
      <c r="E450" s="1776" t="s">
        <v>2354</v>
      </c>
      <c r="F450" s="1776" t="s">
        <v>2355</v>
      </c>
      <c r="G450" s="1776" t="s">
        <v>22</v>
      </c>
      <c r="H450" s="1776" t="s">
        <v>22</v>
      </c>
      <c r="I450" s="1776" t="s">
        <v>892</v>
      </c>
    </row>
    <row r="451" spans="1:9" ht="11.25" customHeight="1">
      <c r="A451" s="1776" t="s">
        <v>2244</v>
      </c>
      <c r="B451" s="1776" t="s">
        <v>16</v>
      </c>
      <c r="C451" s="1776" t="s">
        <v>2359</v>
      </c>
      <c r="D451" s="1776" t="s">
        <v>2360</v>
      </c>
      <c r="E451" s="1776" t="s">
        <v>2361</v>
      </c>
      <c r="F451" s="1776" t="s">
        <v>2313</v>
      </c>
      <c r="G451" s="1776" t="s">
        <v>22</v>
      </c>
      <c r="H451" s="1776" t="s">
        <v>22</v>
      </c>
      <c r="I451" s="1776" t="s">
        <v>892</v>
      </c>
    </row>
    <row r="452" spans="1:9" ht="11.25" customHeight="1">
      <c r="A452" s="1776" t="s">
        <v>2244</v>
      </c>
      <c r="B452" s="1776" t="s">
        <v>16</v>
      </c>
      <c r="C452" s="1776" t="s">
        <v>2365</v>
      </c>
      <c r="D452" s="1776" t="s">
        <v>2366</v>
      </c>
      <c r="E452" s="1776" t="s">
        <v>2367</v>
      </c>
      <c r="F452" s="1776" t="s">
        <v>2368</v>
      </c>
      <c r="G452" s="1776" t="s">
        <v>22</v>
      </c>
      <c r="H452" s="1776" t="s">
        <v>22</v>
      </c>
      <c r="I452" s="1776" t="s">
        <v>892</v>
      </c>
    </row>
    <row r="453" spans="1:9" ht="11.25" customHeight="1">
      <c r="A453" s="1776" t="s">
        <v>2244</v>
      </c>
      <c r="B453" s="1776" t="s">
        <v>16</v>
      </c>
      <c r="C453" s="1776" t="s">
        <v>2387</v>
      </c>
      <c r="D453" s="1776" t="s">
        <v>2388</v>
      </c>
      <c r="E453" s="1776" t="s">
        <v>2386</v>
      </c>
      <c r="F453" s="1776" t="s">
        <v>2389</v>
      </c>
      <c r="G453" s="1776" t="s">
        <v>22</v>
      </c>
      <c r="H453" s="1776" t="s">
        <v>22</v>
      </c>
      <c r="I453" s="1776" t="s">
        <v>892</v>
      </c>
    </row>
    <row r="454" spans="1:9" ht="11.25" customHeight="1">
      <c r="A454" s="1776" t="s">
        <v>2244</v>
      </c>
      <c r="B454" s="1776" t="s">
        <v>16</v>
      </c>
      <c r="C454" s="1776" t="s">
        <v>2390</v>
      </c>
      <c r="D454" s="1776" t="s">
        <v>2391</v>
      </c>
      <c r="E454" s="1776" t="s">
        <v>2386</v>
      </c>
      <c r="F454" s="1776" t="s">
        <v>2392</v>
      </c>
      <c r="G454" s="1776" t="s">
        <v>22</v>
      </c>
      <c r="H454" s="1776" t="s">
        <v>22</v>
      </c>
      <c r="I454" s="1776" t="s">
        <v>892</v>
      </c>
    </row>
    <row r="455" spans="1:9" ht="11.25" customHeight="1">
      <c r="A455" s="1776" t="s">
        <v>2244</v>
      </c>
      <c r="B455" s="1776" t="s">
        <v>16</v>
      </c>
      <c r="C455" s="1776" t="s">
        <v>2396</v>
      </c>
      <c r="D455" s="1776" t="s">
        <v>2397</v>
      </c>
      <c r="E455" s="1776" t="s">
        <v>2386</v>
      </c>
      <c r="F455" s="1776" t="s">
        <v>2398</v>
      </c>
      <c r="G455" s="1776" t="s">
        <v>22</v>
      </c>
      <c r="H455" s="1776" t="s">
        <v>22</v>
      </c>
      <c r="I455" s="1776" t="s">
        <v>892</v>
      </c>
    </row>
    <row r="456" spans="1:9" ht="11.25" customHeight="1">
      <c r="A456" s="1776" t="s">
        <v>2244</v>
      </c>
      <c r="B456" s="1776" t="s">
        <v>16</v>
      </c>
      <c r="C456" s="1776" t="s">
        <v>2399</v>
      </c>
      <c r="D456" s="1776" t="s">
        <v>2400</v>
      </c>
      <c r="E456" s="1776" t="s">
        <v>2386</v>
      </c>
      <c r="F456" s="1776" t="s">
        <v>2401</v>
      </c>
      <c r="G456" s="1776" t="s">
        <v>22</v>
      </c>
      <c r="H456" s="1776" t="s">
        <v>22</v>
      </c>
      <c r="I456" s="1776" t="s">
        <v>892</v>
      </c>
    </row>
    <row r="457" spans="1:9" ht="11.25" customHeight="1">
      <c r="A457" s="1776" t="s">
        <v>2244</v>
      </c>
      <c r="B457" s="1776" t="s">
        <v>16</v>
      </c>
      <c r="C457" s="1776" t="s">
        <v>2402</v>
      </c>
      <c r="D457" s="1776" t="s">
        <v>2403</v>
      </c>
      <c r="E457" s="1776" t="s">
        <v>2386</v>
      </c>
      <c r="F457" s="1776" t="s">
        <v>2404</v>
      </c>
      <c r="G457" s="1776" t="s">
        <v>22</v>
      </c>
      <c r="H457" s="1776" t="s">
        <v>22</v>
      </c>
      <c r="I457" s="1776" t="s">
        <v>892</v>
      </c>
    </row>
    <row r="458" spans="1:9" ht="11.25" customHeight="1">
      <c r="A458" s="1776" t="s">
        <v>2244</v>
      </c>
      <c r="B458" s="1776" t="s">
        <v>16</v>
      </c>
      <c r="C458" s="1776" t="s">
        <v>2405</v>
      </c>
      <c r="D458" s="1776" t="s">
        <v>2406</v>
      </c>
      <c r="E458" s="1776" t="s">
        <v>2386</v>
      </c>
      <c r="F458" s="1776" t="s">
        <v>2407</v>
      </c>
      <c r="G458" s="1776" t="s">
        <v>22</v>
      </c>
      <c r="H458" s="1776" t="s">
        <v>22</v>
      </c>
      <c r="I458" s="1776" t="s">
        <v>892</v>
      </c>
    </row>
    <row r="459" spans="1:9" ht="11.25" customHeight="1">
      <c r="A459" s="1776" t="s">
        <v>2244</v>
      </c>
      <c r="B459" s="1776" t="s">
        <v>16</v>
      </c>
      <c r="C459" s="1776" t="s">
        <v>2421</v>
      </c>
      <c r="D459" s="1776" t="s">
        <v>2422</v>
      </c>
      <c r="E459" s="1776" t="s">
        <v>2423</v>
      </c>
      <c r="F459" s="1776" t="s">
        <v>2424</v>
      </c>
      <c r="G459" s="1776" t="s">
        <v>22</v>
      </c>
      <c r="H459" s="1776" t="s">
        <v>22</v>
      </c>
      <c r="I459" s="1776" t="s">
        <v>892</v>
      </c>
    </row>
    <row r="460" spans="1:9" ht="11.25" customHeight="1">
      <c r="A460" s="1776" t="s">
        <v>2244</v>
      </c>
      <c r="B460" s="1776" t="s">
        <v>16</v>
      </c>
      <c r="C460" s="1776" t="s">
        <v>2437</v>
      </c>
      <c r="D460" s="1776" t="s">
        <v>2438</v>
      </c>
      <c r="E460" s="1776" t="s">
        <v>2439</v>
      </c>
      <c r="F460" s="1776" t="s">
        <v>2261</v>
      </c>
      <c r="G460" s="1776" t="s">
        <v>22</v>
      </c>
      <c r="H460" s="1776" t="s">
        <v>22</v>
      </c>
      <c r="I460" s="1776" t="s">
        <v>892</v>
      </c>
    </row>
    <row r="461" spans="1:9" ht="11.25" customHeight="1">
      <c r="A461" s="1776" t="s">
        <v>2244</v>
      </c>
      <c r="B461" s="1776" t="s">
        <v>16</v>
      </c>
      <c r="C461" s="1776" t="s">
        <v>2440</v>
      </c>
      <c r="D461" s="1776" t="s">
        <v>2441</v>
      </c>
      <c r="E461" s="1776" t="s">
        <v>2442</v>
      </c>
      <c r="F461" s="1776" t="s">
        <v>2436</v>
      </c>
      <c r="G461" s="1776" t="s">
        <v>22</v>
      </c>
      <c r="H461" s="1776" t="s">
        <v>22</v>
      </c>
      <c r="I461" s="1776" t="s">
        <v>892</v>
      </c>
    </row>
    <row r="462" spans="1:9" ht="11.25" customHeight="1">
      <c r="A462" s="1776" t="s">
        <v>2244</v>
      </c>
      <c r="B462" s="1776" t="s">
        <v>16</v>
      </c>
      <c r="C462" s="1776" t="s">
        <v>2451</v>
      </c>
      <c r="D462" s="1776" t="s">
        <v>2452</v>
      </c>
      <c r="E462" s="1776" t="s">
        <v>2453</v>
      </c>
      <c r="F462" s="1776" t="s">
        <v>2257</v>
      </c>
      <c r="G462" s="1776" t="s">
        <v>22</v>
      </c>
      <c r="H462" s="1776" t="s">
        <v>22</v>
      </c>
      <c r="I462" s="1776" t="s">
        <v>892</v>
      </c>
    </row>
    <row r="463" spans="1:9" ht="11.25" customHeight="1">
      <c r="A463" s="1776" t="s">
        <v>2244</v>
      </c>
      <c r="B463" s="1776" t="s">
        <v>16</v>
      </c>
      <c r="C463" s="1776" t="s">
        <v>2459</v>
      </c>
      <c r="D463" s="1776" t="s">
        <v>2460</v>
      </c>
      <c r="E463" s="1776" t="s">
        <v>2461</v>
      </c>
      <c r="F463" s="1776" t="s">
        <v>2287</v>
      </c>
      <c r="G463" s="1776" t="s">
        <v>2462</v>
      </c>
      <c r="H463" s="1776" t="s">
        <v>22</v>
      </c>
      <c r="I463" s="1776" t="s">
        <v>892</v>
      </c>
    </row>
    <row r="464" spans="1:9" ht="11.25" customHeight="1">
      <c r="A464" s="1776" t="s">
        <v>2244</v>
      </c>
      <c r="B464" s="1776" t="s">
        <v>16</v>
      </c>
      <c r="C464" s="1776" t="s">
        <v>2466</v>
      </c>
      <c r="D464" s="1776" t="s">
        <v>2467</v>
      </c>
      <c r="E464" s="1776" t="s">
        <v>2468</v>
      </c>
      <c r="F464" s="1776" t="s">
        <v>2266</v>
      </c>
      <c r="G464" s="1776" t="s">
        <v>2469</v>
      </c>
      <c r="H464" s="1776" t="s">
        <v>22</v>
      </c>
      <c r="I464" s="1776" t="s">
        <v>892</v>
      </c>
    </row>
    <row r="465" spans="1:9" ht="11.25" customHeight="1">
      <c r="A465" s="1776" t="s">
        <v>2244</v>
      </c>
      <c r="B465" s="1776" t="s">
        <v>16</v>
      </c>
      <c r="C465" s="1776" t="s">
        <v>2481</v>
      </c>
      <c r="D465" s="1776" t="s">
        <v>2482</v>
      </c>
      <c r="E465" s="1776" t="s">
        <v>2386</v>
      </c>
      <c r="F465" s="1776" t="s">
        <v>2483</v>
      </c>
      <c r="G465" s="1776" t="s">
        <v>22</v>
      </c>
      <c r="H465" s="1776" t="s">
        <v>22</v>
      </c>
      <c r="I465" s="1776" t="s">
        <v>892</v>
      </c>
    </row>
    <row r="466" spans="1:9" ht="11.25" customHeight="1">
      <c r="A466" s="1776" t="s">
        <v>2244</v>
      </c>
      <c r="B466" s="1776" t="s">
        <v>16</v>
      </c>
      <c r="C466" s="1776" t="s">
        <v>2497</v>
      </c>
      <c r="D466" s="1776" t="s">
        <v>2498</v>
      </c>
      <c r="E466" s="1776" t="s">
        <v>2499</v>
      </c>
      <c r="F466" s="1776" t="s">
        <v>2500</v>
      </c>
      <c r="G466" s="1776" t="s">
        <v>22</v>
      </c>
      <c r="H466" s="1776" t="s">
        <v>22</v>
      </c>
      <c r="I466" s="1776" t="s">
        <v>892</v>
      </c>
    </row>
    <row r="467" spans="1:9" ht="11.25" customHeight="1">
      <c r="A467" s="1776" t="s">
        <v>2244</v>
      </c>
      <c r="B467" s="1776" t="s">
        <v>16</v>
      </c>
      <c r="C467" s="1776" t="s">
        <v>2524</v>
      </c>
      <c r="D467" s="1776" t="s">
        <v>2525</v>
      </c>
      <c r="E467" s="1776" t="s">
        <v>2526</v>
      </c>
      <c r="F467" s="1776" t="s">
        <v>2527</v>
      </c>
      <c r="G467" s="1776" t="s">
        <v>22</v>
      </c>
      <c r="H467" s="1776" t="s">
        <v>22</v>
      </c>
      <c r="I467" s="1776" t="s">
        <v>892</v>
      </c>
    </row>
    <row r="468" spans="1:9" ht="11.25" customHeight="1">
      <c r="A468" s="1776" t="s">
        <v>2244</v>
      </c>
      <c r="B468" s="1776" t="s">
        <v>16</v>
      </c>
      <c r="C468" s="1776" t="s">
        <v>2531</v>
      </c>
      <c r="D468" s="1776" t="s">
        <v>2532</v>
      </c>
      <c r="E468" s="1776" t="s">
        <v>2533</v>
      </c>
      <c r="F468" s="1776" t="s">
        <v>2534</v>
      </c>
      <c r="G468" s="1776" t="s">
        <v>22</v>
      </c>
      <c r="H468" s="1776" t="s">
        <v>22</v>
      </c>
      <c r="I468" s="1776" t="s">
        <v>892</v>
      </c>
    </row>
    <row r="469" spans="1:9" ht="11.25" customHeight="1">
      <c r="A469" s="1776" t="s">
        <v>2244</v>
      </c>
      <c r="B469" s="1776" t="s">
        <v>16</v>
      </c>
      <c r="C469" s="1776" t="s">
        <v>2535</v>
      </c>
      <c r="D469" s="1776" t="s">
        <v>2536</v>
      </c>
      <c r="E469" s="1776" t="s">
        <v>2537</v>
      </c>
      <c r="F469" s="1776" t="s">
        <v>2287</v>
      </c>
      <c r="G469" s="1776" t="s">
        <v>22</v>
      </c>
      <c r="H469" s="1776" t="s">
        <v>22</v>
      </c>
      <c r="I469" s="1776" t="s">
        <v>892</v>
      </c>
    </row>
    <row r="470" spans="1:9" ht="11.25" customHeight="1">
      <c r="A470" s="1776" t="s">
        <v>2244</v>
      </c>
      <c r="B470" s="1776" t="s">
        <v>16</v>
      </c>
      <c r="C470" s="1776" t="s">
        <v>2544</v>
      </c>
      <c r="D470" s="1776" t="s">
        <v>2545</v>
      </c>
      <c r="E470" s="1776" t="s">
        <v>2546</v>
      </c>
      <c r="F470" s="1776" t="s">
        <v>2313</v>
      </c>
      <c r="G470" s="1776" t="s">
        <v>22</v>
      </c>
      <c r="H470" s="1776" t="s">
        <v>22</v>
      </c>
      <c r="I470" s="1776" t="s">
        <v>892</v>
      </c>
    </row>
    <row r="471" spans="1:9" ht="11.25" customHeight="1">
      <c r="A471" s="1776" t="s">
        <v>2244</v>
      </c>
      <c r="B471" s="1776" t="s">
        <v>16</v>
      </c>
      <c r="C471" s="1776" t="s">
        <v>2557</v>
      </c>
      <c r="D471" s="1776" t="s">
        <v>2558</v>
      </c>
      <c r="E471" s="1776" t="s">
        <v>2559</v>
      </c>
      <c r="F471" s="1776" t="s">
        <v>2560</v>
      </c>
      <c r="G471" s="1776" t="s">
        <v>22</v>
      </c>
      <c r="H471" s="1776" t="s">
        <v>22</v>
      </c>
      <c r="I471" s="1776" t="s">
        <v>892</v>
      </c>
    </row>
    <row r="472" spans="1:9" ht="11.25" customHeight="1">
      <c r="A472" s="1776" t="s">
        <v>2244</v>
      </c>
      <c r="B472" s="1776" t="s">
        <v>16</v>
      </c>
      <c r="C472" s="1776" t="s">
        <v>2650</v>
      </c>
      <c r="D472" s="1776" t="s">
        <v>2651</v>
      </c>
      <c r="E472" s="1776" t="s">
        <v>2652</v>
      </c>
      <c r="F472" s="1776" t="s">
        <v>2372</v>
      </c>
      <c r="G472" s="1776" t="s">
        <v>22</v>
      </c>
      <c r="H472" s="1776" t="s">
        <v>22</v>
      </c>
      <c r="I472" s="1776" t="s">
        <v>892</v>
      </c>
    </row>
    <row r="473" spans="1:9" ht="11.25" customHeight="1">
      <c r="A473" s="1776" t="s">
        <v>2244</v>
      </c>
      <c r="B473" s="1776" t="s">
        <v>16</v>
      </c>
      <c r="C473" s="1776" t="s">
        <v>2656</v>
      </c>
      <c r="D473" s="1776" t="s">
        <v>2657</v>
      </c>
      <c r="E473" s="1776" t="s">
        <v>2658</v>
      </c>
      <c r="F473" s="1776" t="s">
        <v>2659</v>
      </c>
      <c r="G473" s="1776" t="s">
        <v>22</v>
      </c>
      <c r="H473" s="1776" t="s">
        <v>22</v>
      </c>
      <c r="I473" s="1776" t="s">
        <v>892</v>
      </c>
    </row>
    <row r="474" spans="1:9" ht="11.25" customHeight="1">
      <c r="A474" s="1776" t="s">
        <v>2244</v>
      </c>
      <c r="B474" s="1776" t="s">
        <v>16</v>
      </c>
      <c r="C474" s="1776" t="s">
        <v>2660</v>
      </c>
      <c r="D474" s="1776" t="s">
        <v>2661</v>
      </c>
      <c r="E474" s="1776" t="s">
        <v>2662</v>
      </c>
      <c r="F474" s="1776" t="s">
        <v>2276</v>
      </c>
      <c r="G474" s="1776" t="s">
        <v>22</v>
      </c>
      <c r="H474" s="1776" t="s">
        <v>22</v>
      </c>
      <c r="I474" s="1776" t="s">
        <v>892</v>
      </c>
    </row>
    <row r="475" spans="1:9" ht="11.25" customHeight="1">
      <c r="A475" s="1776" t="s">
        <v>2244</v>
      </c>
      <c r="B475" s="1776" t="s">
        <v>16</v>
      </c>
      <c r="C475" s="1776" t="s">
        <v>2666</v>
      </c>
      <c r="D475" s="1776" t="s">
        <v>2667</v>
      </c>
      <c r="E475" s="1776" t="s">
        <v>2668</v>
      </c>
      <c r="F475" s="1776" t="s">
        <v>2659</v>
      </c>
      <c r="G475" s="1776" t="s">
        <v>22</v>
      </c>
      <c r="H475" s="1776" t="s">
        <v>22</v>
      </c>
      <c r="I475" s="1776" t="s">
        <v>892</v>
      </c>
    </row>
    <row r="476" spans="1:9" ht="11.25" customHeight="1">
      <c r="A476" s="1776" t="s">
        <v>2244</v>
      </c>
      <c r="B476" s="1776" t="s">
        <v>16</v>
      </c>
      <c r="C476" s="1776" t="s">
        <v>2669</v>
      </c>
      <c r="D476" s="1776" t="s">
        <v>2670</v>
      </c>
      <c r="E476" s="1776" t="s">
        <v>2671</v>
      </c>
      <c r="F476" s="1776" t="s">
        <v>2672</v>
      </c>
      <c r="G476" s="1776" t="s">
        <v>22</v>
      </c>
      <c r="H476" s="1776" t="s">
        <v>22</v>
      </c>
      <c r="I476" s="1776" t="s">
        <v>892</v>
      </c>
    </row>
    <row r="477" spans="1:9" ht="11.25" customHeight="1">
      <c r="A477" s="1776" t="s">
        <v>2244</v>
      </c>
      <c r="B477" s="1776" t="s">
        <v>16</v>
      </c>
      <c r="C477" s="1776" t="s">
        <v>2676</v>
      </c>
      <c r="D477" s="1776" t="s">
        <v>2677</v>
      </c>
      <c r="E477" s="1776" t="s">
        <v>2678</v>
      </c>
      <c r="F477" s="1776" t="s">
        <v>2679</v>
      </c>
      <c r="G477" s="1776" t="s">
        <v>2680</v>
      </c>
      <c r="H477" s="1776" t="s">
        <v>22</v>
      </c>
      <c r="I477" s="1776" t="s">
        <v>892</v>
      </c>
    </row>
    <row r="478" spans="1:9" ht="11.25" customHeight="1">
      <c r="A478" s="1776" t="s">
        <v>2244</v>
      </c>
      <c r="B478" s="1776" t="s">
        <v>16</v>
      </c>
      <c r="C478" s="1776" t="s">
        <v>2681</v>
      </c>
      <c r="D478" s="1776" t="s">
        <v>2682</v>
      </c>
      <c r="E478" s="1776" t="s">
        <v>2683</v>
      </c>
      <c r="F478" s="1776" t="s">
        <v>2248</v>
      </c>
      <c r="G478" s="1776" t="s">
        <v>22</v>
      </c>
      <c r="H478" s="1776" t="s">
        <v>22</v>
      </c>
      <c r="I478" s="1776" t="s">
        <v>892</v>
      </c>
    </row>
    <row r="479" spans="1:9" ht="11.25" customHeight="1">
      <c r="A479" s="1776" t="s">
        <v>2244</v>
      </c>
      <c r="B479" s="1776" t="s">
        <v>16</v>
      </c>
      <c r="C479" s="1776" t="s">
        <v>2691</v>
      </c>
      <c r="D479" s="1776" t="s">
        <v>2692</v>
      </c>
      <c r="E479" s="1776" t="s">
        <v>2693</v>
      </c>
      <c r="F479" s="1776" t="s">
        <v>2294</v>
      </c>
      <c r="G479" s="1776" t="s">
        <v>22</v>
      </c>
      <c r="H479" s="1776" t="s">
        <v>22</v>
      </c>
      <c r="I479" s="1776" t="s">
        <v>892</v>
      </c>
    </row>
    <row r="480" spans="1:9" ht="11.25" customHeight="1">
      <c r="A480" s="1776" t="s">
        <v>2244</v>
      </c>
      <c r="B480" s="1776" t="s">
        <v>16</v>
      </c>
      <c r="C480" s="1776" t="s">
        <v>2715</v>
      </c>
      <c r="D480" s="1776" t="s">
        <v>2716</v>
      </c>
      <c r="E480" s="1776" t="s">
        <v>2717</v>
      </c>
      <c r="F480" s="1776" t="s">
        <v>2309</v>
      </c>
      <c r="G480" s="1776" t="s">
        <v>22</v>
      </c>
      <c r="H480" s="1776" t="s">
        <v>22</v>
      </c>
      <c r="I480" s="1776" t="s">
        <v>892</v>
      </c>
    </row>
    <row r="481" spans="1:9" ht="11.25" customHeight="1">
      <c r="A481" s="1776" t="s">
        <v>2244</v>
      </c>
      <c r="B481" s="1776" t="s">
        <v>16</v>
      </c>
      <c r="C481" s="1776" t="s">
        <v>2721</v>
      </c>
      <c r="D481" s="1776" t="s">
        <v>2722</v>
      </c>
      <c r="E481" s="1776" t="s">
        <v>2723</v>
      </c>
      <c r="F481" s="1776" t="s">
        <v>2527</v>
      </c>
      <c r="G481" s="1776" t="s">
        <v>22</v>
      </c>
      <c r="H481" s="1776" t="s">
        <v>22</v>
      </c>
      <c r="I481" s="1776" t="s">
        <v>892</v>
      </c>
    </row>
    <row r="482" spans="1:9" ht="11.25" customHeight="1">
      <c r="A482" s="1776" t="s">
        <v>2244</v>
      </c>
      <c r="B482" s="1776" t="s">
        <v>16</v>
      </c>
      <c r="C482" s="1776" t="s">
        <v>2727</v>
      </c>
      <c r="D482" s="1776" t="s">
        <v>2728</v>
      </c>
      <c r="E482" s="1776" t="s">
        <v>2729</v>
      </c>
      <c r="F482" s="1776" t="s">
        <v>2679</v>
      </c>
      <c r="G482" s="1776" t="s">
        <v>22</v>
      </c>
      <c r="H482" s="1776" t="s">
        <v>22</v>
      </c>
      <c r="I482" s="1776" t="s">
        <v>892</v>
      </c>
    </row>
    <row r="483" spans="1:9" ht="11.25" customHeight="1">
      <c r="A483" s="1776" t="s">
        <v>2244</v>
      </c>
      <c r="B483" s="1776" t="s">
        <v>16</v>
      </c>
      <c r="C483" s="1776" t="s">
        <v>2742</v>
      </c>
      <c r="D483" s="1776" t="s">
        <v>2743</v>
      </c>
      <c r="E483" s="1776" t="s">
        <v>2744</v>
      </c>
      <c r="F483" s="1776" t="s">
        <v>2344</v>
      </c>
      <c r="G483" s="1776" t="s">
        <v>22</v>
      </c>
      <c r="H483" s="1776" t="s">
        <v>22</v>
      </c>
      <c r="I483" s="1776" t="s">
        <v>892</v>
      </c>
    </row>
    <row r="484" spans="1:9" ht="11.25" customHeight="1">
      <c r="A484" s="1776" t="s">
        <v>2244</v>
      </c>
      <c r="B484" s="1776" t="s">
        <v>16</v>
      </c>
      <c r="C484" s="1776" t="s">
        <v>2748</v>
      </c>
      <c r="D484" s="1776" t="s">
        <v>2749</v>
      </c>
      <c r="E484" s="1776" t="s">
        <v>2750</v>
      </c>
      <c r="F484" s="1776" t="s">
        <v>2751</v>
      </c>
      <c r="G484" s="1776" t="s">
        <v>22</v>
      </c>
      <c r="H484" s="1776" t="s">
        <v>22</v>
      </c>
      <c r="I484" s="1776" t="s">
        <v>892</v>
      </c>
    </row>
    <row r="485" spans="1:9" ht="11.25" customHeight="1">
      <c r="A485" s="1776" t="s">
        <v>2244</v>
      </c>
      <c r="B485" s="1776" t="s">
        <v>16</v>
      </c>
      <c r="C485" s="1776" t="s">
        <v>2755</v>
      </c>
      <c r="D485" s="1776" t="s">
        <v>2756</v>
      </c>
      <c r="E485" s="1776" t="s">
        <v>2757</v>
      </c>
      <c r="F485" s="1776" t="s">
        <v>2758</v>
      </c>
      <c r="G485" s="1776" t="s">
        <v>22</v>
      </c>
      <c r="H485" s="1776" t="s">
        <v>22</v>
      </c>
      <c r="I485" s="1776" t="s">
        <v>892</v>
      </c>
    </row>
    <row r="486" spans="1:9" ht="11.25" customHeight="1">
      <c r="A486" s="1776" t="s">
        <v>2244</v>
      </c>
      <c r="B486" s="1776" t="s">
        <v>16</v>
      </c>
      <c r="C486" s="1776" t="s">
        <v>2759</v>
      </c>
      <c r="D486" s="1776" t="s">
        <v>2760</v>
      </c>
      <c r="E486" s="1776" t="s">
        <v>2761</v>
      </c>
      <c r="F486" s="1776" t="s">
        <v>2500</v>
      </c>
      <c r="G486" s="1776" t="s">
        <v>22</v>
      </c>
      <c r="H486" s="1776" t="s">
        <v>22</v>
      </c>
      <c r="I486" s="1776" t="s">
        <v>892</v>
      </c>
    </row>
    <row r="487" spans="1:9" ht="11.25" customHeight="1">
      <c r="A487" s="1776" t="s">
        <v>2244</v>
      </c>
      <c r="B487" s="1776" t="s">
        <v>16</v>
      </c>
      <c r="C487" s="1776" t="s">
        <v>2772</v>
      </c>
      <c r="D487" s="1776" t="s">
        <v>2773</v>
      </c>
      <c r="E487" s="1776" t="s">
        <v>2774</v>
      </c>
      <c r="F487" s="1776" t="s">
        <v>2527</v>
      </c>
      <c r="G487" s="1776" t="s">
        <v>22</v>
      </c>
      <c r="H487" s="1776" t="s">
        <v>22</v>
      </c>
      <c r="I487" s="1776" t="s">
        <v>892</v>
      </c>
    </row>
    <row r="488" spans="1:9" ht="11.25" customHeight="1">
      <c r="A488" s="1776" t="s">
        <v>2244</v>
      </c>
      <c r="B488" s="1776" t="s">
        <v>16</v>
      </c>
      <c r="C488" s="1776" t="s">
        <v>2775</v>
      </c>
      <c r="D488" s="1776" t="s">
        <v>2776</v>
      </c>
      <c r="E488" s="1776" t="s">
        <v>2777</v>
      </c>
      <c r="F488" s="1776" t="s">
        <v>2266</v>
      </c>
      <c r="G488" s="1776" t="s">
        <v>22</v>
      </c>
      <c r="H488" s="1776" t="s">
        <v>22</v>
      </c>
      <c r="I488" s="1776" t="s">
        <v>892</v>
      </c>
    </row>
    <row r="489" spans="1:9" ht="11.25" customHeight="1">
      <c r="A489" s="1776" t="s">
        <v>2244</v>
      </c>
      <c r="B489" s="1776" t="s">
        <v>16</v>
      </c>
      <c r="C489" s="1776" t="s">
        <v>2781</v>
      </c>
      <c r="D489" s="1776" t="s">
        <v>2782</v>
      </c>
      <c r="E489" s="1776" t="s">
        <v>2783</v>
      </c>
      <c r="F489" s="1776" t="s">
        <v>2344</v>
      </c>
      <c r="G489" s="1776" t="s">
        <v>22</v>
      </c>
      <c r="H489" s="1776" t="s">
        <v>22</v>
      </c>
      <c r="I489" s="1776" t="s">
        <v>892</v>
      </c>
    </row>
    <row r="490" spans="1:9" ht="11.25" customHeight="1">
      <c r="A490" s="1776" t="s">
        <v>2244</v>
      </c>
      <c r="B490" s="1776" t="s">
        <v>16</v>
      </c>
      <c r="C490" s="1776" t="s">
        <v>2802</v>
      </c>
      <c r="D490" s="1776" t="s">
        <v>2803</v>
      </c>
      <c r="E490" s="1776" t="s">
        <v>2804</v>
      </c>
      <c r="F490" s="1776" t="s">
        <v>2679</v>
      </c>
      <c r="G490" s="1776" t="s">
        <v>22</v>
      </c>
      <c r="H490" s="1776" t="s">
        <v>22</v>
      </c>
      <c r="I490" s="1776" t="s">
        <v>892</v>
      </c>
    </row>
    <row r="491" spans="1:9" ht="11.25" customHeight="1">
      <c r="A491" s="1776" t="s">
        <v>2244</v>
      </c>
      <c r="B491" s="1776" t="s">
        <v>16</v>
      </c>
      <c r="C491" s="1776" t="s">
        <v>2805</v>
      </c>
      <c r="D491" s="1776" t="s">
        <v>2806</v>
      </c>
      <c r="E491" s="1776" t="s">
        <v>2807</v>
      </c>
      <c r="F491" s="1776" t="s">
        <v>2808</v>
      </c>
      <c r="G491" s="1776" t="s">
        <v>22</v>
      </c>
      <c r="H491" s="1776" t="s">
        <v>22</v>
      </c>
      <c r="I491" s="1776" t="s">
        <v>892</v>
      </c>
    </row>
    <row r="492" spans="1:9" ht="11.25" customHeight="1">
      <c r="A492" s="1776" t="s">
        <v>2244</v>
      </c>
      <c r="B492" s="1776" t="s">
        <v>16</v>
      </c>
      <c r="C492" s="1776" t="s">
        <v>2809</v>
      </c>
      <c r="D492" s="1776" t="s">
        <v>2810</v>
      </c>
      <c r="E492" s="1776" t="s">
        <v>2811</v>
      </c>
      <c r="F492" s="1776" t="s">
        <v>2302</v>
      </c>
      <c r="G492" s="1776" t="s">
        <v>22</v>
      </c>
      <c r="H492" s="1776" t="s">
        <v>22</v>
      </c>
      <c r="I492" s="1776" t="s">
        <v>892</v>
      </c>
    </row>
    <row r="493" spans="1:9" ht="11.25" customHeight="1">
      <c r="A493" s="1776" t="s">
        <v>2244</v>
      </c>
      <c r="B493" s="1776" t="s">
        <v>16</v>
      </c>
      <c r="C493" s="1776" t="s">
        <v>2816</v>
      </c>
      <c r="D493" s="1776" t="s">
        <v>2817</v>
      </c>
      <c r="E493" s="1776" t="s">
        <v>2818</v>
      </c>
      <c r="F493" s="1776" t="s">
        <v>2679</v>
      </c>
      <c r="G493" s="1776" t="s">
        <v>22</v>
      </c>
      <c r="H493" s="1776" t="s">
        <v>22</v>
      </c>
      <c r="I493" s="1776" t="s">
        <v>892</v>
      </c>
    </row>
    <row r="494" spans="1:9" ht="11.25" customHeight="1">
      <c r="A494" s="1776" t="s">
        <v>2244</v>
      </c>
      <c r="B494" s="1776" t="s">
        <v>16</v>
      </c>
      <c r="C494" s="1776" t="s">
        <v>2819</v>
      </c>
      <c r="D494" s="1776" t="s">
        <v>2820</v>
      </c>
      <c r="E494" s="1776" t="s">
        <v>2821</v>
      </c>
      <c r="F494" s="1776" t="s">
        <v>2534</v>
      </c>
      <c r="G494" s="1776" t="s">
        <v>22</v>
      </c>
      <c r="H494" s="1776" t="s">
        <v>22</v>
      </c>
      <c r="I494" s="1776" t="s">
        <v>892</v>
      </c>
    </row>
    <row r="495" spans="1:9" ht="11.25" customHeight="1">
      <c r="A495" s="1776" t="s">
        <v>2244</v>
      </c>
      <c r="B495" s="1776" t="s">
        <v>16</v>
      </c>
      <c r="C495" s="1776" t="s">
        <v>2822</v>
      </c>
      <c r="D495" s="1776" t="s">
        <v>2823</v>
      </c>
      <c r="E495" s="1776" t="s">
        <v>2824</v>
      </c>
      <c r="F495" s="1776" t="s">
        <v>2697</v>
      </c>
      <c r="G495" s="1776" t="s">
        <v>22</v>
      </c>
      <c r="H495" s="1776" t="s">
        <v>22</v>
      </c>
      <c r="I495" s="1776" t="s">
        <v>892</v>
      </c>
    </row>
    <row r="496" spans="1:9" ht="11.25" customHeight="1">
      <c r="A496" s="1776" t="s">
        <v>2244</v>
      </c>
      <c r="B496" s="1776" t="s">
        <v>16</v>
      </c>
      <c r="C496" s="1776" t="s">
        <v>2832</v>
      </c>
      <c r="D496" s="1776" t="s">
        <v>2833</v>
      </c>
      <c r="E496" s="1776" t="s">
        <v>2834</v>
      </c>
      <c r="F496" s="1776" t="s">
        <v>2835</v>
      </c>
      <c r="G496" s="1776" t="s">
        <v>22</v>
      </c>
      <c r="H496" s="1776" t="s">
        <v>22</v>
      </c>
      <c r="I496" s="1776" t="s">
        <v>892</v>
      </c>
    </row>
    <row r="497" spans="1:9" ht="11.25" customHeight="1">
      <c r="A497" s="1776" t="s">
        <v>2244</v>
      </c>
      <c r="B497" s="1776" t="s">
        <v>16</v>
      </c>
      <c r="C497" s="1776" t="s">
        <v>2836</v>
      </c>
      <c r="D497" s="1776" t="s">
        <v>2837</v>
      </c>
      <c r="E497" s="1776" t="s">
        <v>2838</v>
      </c>
      <c r="F497" s="1776" t="s">
        <v>2313</v>
      </c>
      <c r="G497" s="1776" t="s">
        <v>22</v>
      </c>
      <c r="H497" s="1776" t="s">
        <v>22</v>
      </c>
      <c r="I497" s="1776" t="s">
        <v>892</v>
      </c>
    </row>
    <row r="498" spans="1:9" ht="11.25" customHeight="1">
      <c r="A498" s="1776" t="s">
        <v>2244</v>
      </c>
      <c r="B498" s="1776" t="s">
        <v>16</v>
      </c>
      <c r="C498" s="1776" t="s">
        <v>2839</v>
      </c>
      <c r="D498" s="1776" t="s">
        <v>2840</v>
      </c>
      <c r="E498" s="1776" t="s">
        <v>2841</v>
      </c>
      <c r="F498" s="1776" t="s">
        <v>2511</v>
      </c>
      <c r="G498" s="1776" t="s">
        <v>22</v>
      </c>
      <c r="H498" s="1776" t="s">
        <v>22</v>
      </c>
      <c r="I498" s="1776" t="s">
        <v>892</v>
      </c>
    </row>
    <row r="499" spans="1:9" ht="11.25" customHeight="1">
      <c r="A499" s="1776" t="s">
        <v>2244</v>
      </c>
      <c r="B499" s="1776" t="s">
        <v>16</v>
      </c>
      <c r="C499" s="1776" t="s">
        <v>2842</v>
      </c>
      <c r="D499" s="1776" t="s">
        <v>2843</v>
      </c>
      <c r="E499" s="1776" t="s">
        <v>2844</v>
      </c>
      <c r="F499" s="1776" t="s">
        <v>2631</v>
      </c>
      <c r="G499" s="1776" t="s">
        <v>2845</v>
      </c>
      <c r="H499" s="1776" t="s">
        <v>22</v>
      </c>
      <c r="I499" s="1776" t="s">
        <v>892</v>
      </c>
    </row>
    <row r="500" spans="1:9" ht="11.25" customHeight="1">
      <c r="A500" s="1776" t="s">
        <v>2244</v>
      </c>
      <c r="B500" s="1776" t="s">
        <v>16</v>
      </c>
      <c r="C500" s="1776" t="s">
        <v>2846</v>
      </c>
      <c r="D500" s="1776" t="s">
        <v>2847</v>
      </c>
      <c r="E500" s="1776" t="s">
        <v>2848</v>
      </c>
      <c r="F500" s="1776" t="s">
        <v>2690</v>
      </c>
      <c r="G500" s="1776" t="s">
        <v>22</v>
      </c>
      <c r="H500" s="1776" t="s">
        <v>22</v>
      </c>
      <c r="I500" s="1776" t="s">
        <v>892</v>
      </c>
    </row>
    <row r="501" spans="1:9" ht="11.25" customHeight="1">
      <c r="A501" s="1776" t="s">
        <v>2244</v>
      </c>
      <c r="B501" s="1776" t="s">
        <v>16</v>
      </c>
      <c r="C501" s="1776" t="s">
        <v>2863</v>
      </c>
      <c r="D501" s="1776" t="s">
        <v>2864</v>
      </c>
      <c r="E501" s="1776" t="s">
        <v>2865</v>
      </c>
      <c r="F501" s="1776" t="s">
        <v>2527</v>
      </c>
      <c r="G501" s="1776" t="s">
        <v>2866</v>
      </c>
      <c r="H501" s="1776" t="s">
        <v>22</v>
      </c>
      <c r="I501" s="1776" t="s">
        <v>892</v>
      </c>
    </row>
    <row r="502" spans="1:9" ht="11.25" customHeight="1">
      <c r="A502" s="1776" t="s">
        <v>2244</v>
      </c>
      <c r="B502" s="1776" t="s">
        <v>16</v>
      </c>
      <c r="C502" s="1776" t="s">
        <v>2867</v>
      </c>
      <c r="D502" s="1776" t="s">
        <v>2868</v>
      </c>
      <c r="E502" s="1776" t="s">
        <v>2869</v>
      </c>
      <c r="F502" s="1776" t="s">
        <v>2527</v>
      </c>
      <c r="G502" s="1776" t="s">
        <v>22</v>
      </c>
      <c r="H502" s="1776" t="s">
        <v>22</v>
      </c>
      <c r="I502" s="1776" t="s">
        <v>892</v>
      </c>
    </row>
    <row r="503" spans="1:9" ht="11.25" customHeight="1">
      <c r="A503" s="1776" t="s">
        <v>2244</v>
      </c>
      <c r="B503" s="1776" t="s">
        <v>16</v>
      </c>
      <c r="C503" s="1776" t="s">
        <v>2906</v>
      </c>
      <c r="D503" s="1776" t="s">
        <v>2907</v>
      </c>
      <c r="E503" s="1776" t="s">
        <v>2486</v>
      </c>
      <c r="F503" s="1776" t="s">
        <v>2550</v>
      </c>
      <c r="G503" s="1776" t="s">
        <v>22</v>
      </c>
      <c r="H503" s="1776" t="s">
        <v>22</v>
      </c>
      <c r="I503" s="1776" t="s">
        <v>892</v>
      </c>
    </row>
    <row r="504" spans="1:9" ht="11.25" customHeight="1">
      <c r="A504" s="1776" t="s">
        <v>2244</v>
      </c>
      <c r="B504" s="1776" t="s">
        <v>16</v>
      </c>
      <c r="C504" s="1776" t="s">
        <v>2952</v>
      </c>
      <c r="D504" s="1776" t="s">
        <v>2953</v>
      </c>
      <c r="E504" s="1776" t="s">
        <v>2954</v>
      </c>
      <c r="F504" s="1776" t="s">
        <v>2368</v>
      </c>
      <c r="G504" s="1776" t="s">
        <v>22</v>
      </c>
      <c r="H504" s="1776" t="s">
        <v>22</v>
      </c>
      <c r="I504" s="1776" t="s">
        <v>892</v>
      </c>
    </row>
    <row r="505" spans="1:9" ht="11.25" customHeight="1">
      <c r="A505" s="1776" t="s">
        <v>2244</v>
      </c>
      <c r="B505" s="1776" t="s">
        <v>16</v>
      </c>
      <c r="C505" s="1776" t="s">
        <v>2984</v>
      </c>
      <c r="D505" s="1776" t="s">
        <v>2985</v>
      </c>
      <c r="E505" s="1776" t="s">
        <v>2986</v>
      </c>
      <c r="F505" s="1776" t="s">
        <v>2659</v>
      </c>
      <c r="G505" s="1776" t="s">
        <v>22</v>
      </c>
      <c r="H505" s="1776" t="s">
        <v>22</v>
      </c>
      <c r="I505" s="1776" t="s">
        <v>892</v>
      </c>
    </row>
    <row r="506" spans="1:9" ht="11.25" customHeight="1">
      <c r="A506" s="1776" t="s">
        <v>2244</v>
      </c>
      <c r="B506" s="1776" t="s">
        <v>16</v>
      </c>
      <c r="C506" s="1776" t="s">
        <v>2987</v>
      </c>
      <c r="D506" s="1776" t="s">
        <v>2988</v>
      </c>
      <c r="E506" s="1776" t="s">
        <v>2559</v>
      </c>
      <c r="F506" s="1776" t="s">
        <v>2989</v>
      </c>
      <c r="G506" s="1776" t="s">
        <v>22</v>
      </c>
      <c r="H506" s="1776" t="s">
        <v>22</v>
      </c>
      <c r="I506" s="1776" t="s">
        <v>892</v>
      </c>
    </row>
    <row r="507" spans="1:9" ht="11.25" customHeight="1">
      <c r="A507" s="1776" t="s">
        <v>2244</v>
      </c>
      <c r="B507" s="1776" t="s">
        <v>16</v>
      </c>
      <c r="C507" s="1776" t="s">
        <v>2993</v>
      </c>
      <c r="D507" s="1776" t="s">
        <v>2994</v>
      </c>
      <c r="E507" s="1776" t="s">
        <v>2995</v>
      </c>
      <c r="F507" s="1776" t="s">
        <v>2266</v>
      </c>
      <c r="G507" s="1776" t="s">
        <v>22</v>
      </c>
      <c r="H507" s="1776" t="s">
        <v>22</v>
      </c>
      <c r="I507" s="1776" t="s">
        <v>892</v>
      </c>
    </row>
    <row r="508" spans="1:9" ht="11.25" customHeight="1">
      <c r="A508" s="1776" t="s">
        <v>2244</v>
      </c>
      <c r="B508" s="1776" t="s">
        <v>16</v>
      </c>
      <c r="C508" s="1776" t="s">
        <v>2999</v>
      </c>
      <c r="D508" s="1776" t="s">
        <v>3000</v>
      </c>
      <c r="E508" s="1776" t="s">
        <v>3001</v>
      </c>
      <c r="F508" s="1776" t="s">
        <v>2252</v>
      </c>
      <c r="G508" s="1776" t="s">
        <v>22</v>
      </c>
      <c r="H508" s="1776" t="s">
        <v>22</v>
      </c>
      <c r="I508" s="1776" t="s">
        <v>892</v>
      </c>
    </row>
    <row r="509" spans="1:9" ht="11.25" customHeight="1">
      <c r="A509" s="1776" t="s">
        <v>2244</v>
      </c>
      <c r="B509" s="1776" t="s">
        <v>16</v>
      </c>
      <c r="C509" s="1776" t="s">
        <v>3002</v>
      </c>
      <c r="D509" s="1776" t="s">
        <v>3003</v>
      </c>
      <c r="E509" s="1776" t="s">
        <v>3004</v>
      </c>
      <c r="F509" s="1776" t="s">
        <v>2511</v>
      </c>
      <c r="G509" s="1776" t="s">
        <v>22</v>
      </c>
      <c r="H509" s="1776" t="s">
        <v>22</v>
      </c>
      <c r="I509" s="1776" t="s">
        <v>892</v>
      </c>
    </row>
    <row r="510" spans="1:9" ht="11.25" customHeight="1">
      <c r="A510" s="1776" t="s">
        <v>2244</v>
      </c>
      <c r="B510" s="1776" t="s">
        <v>16</v>
      </c>
      <c r="C510" s="1776" t="s">
        <v>3018</v>
      </c>
      <c r="D510" s="1776" t="s">
        <v>3019</v>
      </c>
      <c r="E510" s="1776" t="s">
        <v>3020</v>
      </c>
      <c r="F510" s="1776" t="s">
        <v>2287</v>
      </c>
      <c r="G510" s="1776" t="s">
        <v>22</v>
      </c>
      <c r="H510" s="1776" t="s">
        <v>22</v>
      </c>
      <c r="I510" s="1776" t="s">
        <v>892</v>
      </c>
    </row>
    <row r="511" spans="1:9" ht="11.25" customHeight="1">
      <c r="A511" s="1776" t="s">
        <v>2244</v>
      </c>
      <c r="B511" s="1776" t="s">
        <v>16</v>
      </c>
      <c r="C511" s="1776" t="s">
        <v>3027</v>
      </c>
      <c r="D511" s="1776" t="s">
        <v>3028</v>
      </c>
      <c r="E511" s="1776" t="s">
        <v>3029</v>
      </c>
      <c r="F511" s="1776" t="s">
        <v>2252</v>
      </c>
      <c r="G511" s="1776" t="s">
        <v>22</v>
      </c>
      <c r="H511" s="1776" t="s">
        <v>22</v>
      </c>
      <c r="I511" s="1776" t="s">
        <v>892</v>
      </c>
    </row>
    <row r="512" spans="1:9" ht="11.25" customHeight="1">
      <c r="A512" s="1776" t="s">
        <v>2244</v>
      </c>
      <c r="B512" s="1776" t="s">
        <v>16</v>
      </c>
      <c r="C512" s="1776" t="s">
        <v>3032</v>
      </c>
      <c r="D512" s="1776" t="s">
        <v>3033</v>
      </c>
      <c r="E512" s="1776" t="s">
        <v>3034</v>
      </c>
      <c r="F512" s="1776" t="s">
        <v>2368</v>
      </c>
      <c r="G512" s="1776" t="s">
        <v>22</v>
      </c>
      <c r="H512" s="1776" t="s">
        <v>22</v>
      </c>
      <c r="I512" s="1776" t="s">
        <v>892</v>
      </c>
    </row>
    <row r="513" spans="1:9" ht="11.25" customHeight="1">
      <c r="A513" s="1776" t="s">
        <v>2244</v>
      </c>
      <c r="B513" s="1776" t="s">
        <v>16</v>
      </c>
      <c r="C513" s="1776" t="s">
        <v>3038</v>
      </c>
      <c r="D513" s="1776" t="s">
        <v>3039</v>
      </c>
      <c r="E513" s="1776" t="s">
        <v>3040</v>
      </c>
      <c r="F513" s="1776" t="s">
        <v>2276</v>
      </c>
      <c r="G513" s="1776" t="s">
        <v>22</v>
      </c>
      <c r="H513" s="1776" t="s">
        <v>22</v>
      </c>
      <c r="I513" s="1776" t="s">
        <v>892</v>
      </c>
    </row>
    <row r="514" spans="1:9" ht="11.25" customHeight="1">
      <c r="A514" s="1776" t="s">
        <v>2244</v>
      </c>
      <c r="B514" s="1776" t="s">
        <v>16</v>
      </c>
      <c r="C514" s="1776" t="s">
        <v>3041</v>
      </c>
      <c r="D514" s="1776" t="s">
        <v>3042</v>
      </c>
      <c r="E514" s="1776" t="s">
        <v>3043</v>
      </c>
      <c r="F514" s="1776" t="s">
        <v>2276</v>
      </c>
      <c r="G514" s="1776" t="s">
        <v>22</v>
      </c>
      <c r="H514" s="1776" t="s">
        <v>22</v>
      </c>
      <c r="I514" s="1776" t="s">
        <v>892</v>
      </c>
    </row>
    <row r="515" spans="1:9" ht="11.25" customHeight="1">
      <c r="A515" s="1776" t="s">
        <v>2244</v>
      </c>
      <c r="B515" s="1776" t="s">
        <v>16</v>
      </c>
      <c r="C515" s="1776" t="s">
        <v>3053</v>
      </c>
      <c r="D515" s="1776" t="s">
        <v>3054</v>
      </c>
      <c r="E515" s="1776" t="s">
        <v>3055</v>
      </c>
      <c r="F515" s="1776" t="s">
        <v>2276</v>
      </c>
      <c r="G515" s="1776" t="s">
        <v>22</v>
      </c>
      <c r="H515" s="1776" t="s">
        <v>22</v>
      </c>
      <c r="I515" s="1776" t="s">
        <v>892</v>
      </c>
    </row>
    <row r="516" spans="1:9" ht="11.25" customHeight="1">
      <c r="A516" s="1776" t="s">
        <v>2244</v>
      </c>
      <c r="B516" s="1776" t="s">
        <v>16</v>
      </c>
      <c r="C516" s="1776" t="s">
        <v>3056</v>
      </c>
      <c r="D516" s="1776" t="s">
        <v>3057</v>
      </c>
      <c r="E516" s="1776" t="s">
        <v>3058</v>
      </c>
      <c r="F516" s="1776" t="s">
        <v>2276</v>
      </c>
      <c r="G516" s="1776" t="s">
        <v>22</v>
      </c>
      <c r="H516" s="1776" t="s">
        <v>22</v>
      </c>
      <c r="I516" s="1776" t="s">
        <v>892</v>
      </c>
    </row>
    <row r="517" spans="1:9" ht="11.25" customHeight="1">
      <c r="A517" s="1776" t="s">
        <v>2244</v>
      </c>
      <c r="B517" s="1776" t="s">
        <v>16</v>
      </c>
      <c r="C517" s="1776" t="s">
        <v>3059</v>
      </c>
      <c r="D517" s="1776" t="s">
        <v>3060</v>
      </c>
      <c r="E517" s="1776" t="s">
        <v>3061</v>
      </c>
      <c r="F517" s="1776" t="s">
        <v>2276</v>
      </c>
      <c r="G517" s="1776" t="s">
        <v>22</v>
      </c>
      <c r="H517" s="1776" t="s">
        <v>22</v>
      </c>
      <c r="I517" s="1776" t="s">
        <v>892</v>
      </c>
    </row>
    <row r="518" spans="1:9" ht="11.25" customHeight="1">
      <c r="A518" s="1776" t="s">
        <v>2244</v>
      </c>
      <c r="B518" s="1776" t="s">
        <v>16</v>
      </c>
      <c r="C518" s="1776" t="s">
        <v>3067</v>
      </c>
      <c r="D518" s="1776" t="s">
        <v>3068</v>
      </c>
      <c r="E518" s="1776" t="s">
        <v>3069</v>
      </c>
      <c r="F518" s="1776" t="s">
        <v>3070</v>
      </c>
      <c r="G518" s="1776" t="s">
        <v>22</v>
      </c>
      <c r="H518" s="1776" t="s">
        <v>22</v>
      </c>
      <c r="I518" s="1776" t="s">
        <v>892</v>
      </c>
    </row>
    <row r="519" spans="1:9" ht="11.25" customHeight="1">
      <c r="A519" s="1776" t="s">
        <v>2244</v>
      </c>
      <c r="B519" s="1776" t="s">
        <v>16</v>
      </c>
      <c r="C519" s="1776" t="s">
        <v>3078</v>
      </c>
      <c r="D519" s="1776" t="s">
        <v>3079</v>
      </c>
      <c r="E519" s="1776" t="s">
        <v>3080</v>
      </c>
      <c r="F519" s="1776" t="s">
        <v>2294</v>
      </c>
      <c r="G519" s="1776" t="s">
        <v>22</v>
      </c>
      <c r="H519" s="1776" t="s">
        <v>22</v>
      </c>
      <c r="I519" s="1776" t="s">
        <v>892</v>
      </c>
    </row>
    <row r="520" spans="1:9" ht="11.25" customHeight="1">
      <c r="A520" s="1776" t="s">
        <v>2244</v>
      </c>
      <c r="B520" s="1776" t="s">
        <v>16</v>
      </c>
      <c r="C520" s="1776" t="s">
        <v>3084</v>
      </c>
      <c r="D520" s="1776" t="s">
        <v>3085</v>
      </c>
      <c r="E520" s="1776" t="s">
        <v>3086</v>
      </c>
      <c r="F520" s="1776" t="s">
        <v>2257</v>
      </c>
      <c r="G520" s="1776" t="s">
        <v>3087</v>
      </c>
      <c r="H520" s="1776" t="s">
        <v>22</v>
      </c>
      <c r="I520" s="1776" t="s">
        <v>892</v>
      </c>
    </row>
    <row r="521" spans="1:9" ht="11.25" customHeight="1">
      <c r="A521" s="1776" t="s">
        <v>2244</v>
      </c>
      <c r="B521" s="1776" t="s">
        <v>16</v>
      </c>
      <c r="C521" s="1776" t="s">
        <v>3109</v>
      </c>
      <c r="D521" s="1776" t="s">
        <v>3110</v>
      </c>
      <c r="E521" s="1776" t="s">
        <v>3111</v>
      </c>
      <c r="F521" s="1776" t="s">
        <v>2473</v>
      </c>
      <c r="G521" s="1776" t="s">
        <v>22</v>
      </c>
      <c r="H521" s="1776" t="s">
        <v>22</v>
      </c>
      <c r="I521" s="1776" t="s">
        <v>892</v>
      </c>
    </row>
    <row r="522" spans="1:9" ht="11.25" customHeight="1">
      <c r="A522" s="1776" t="s">
        <v>2244</v>
      </c>
      <c r="B522" s="1776" t="s">
        <v>16</v>
      </c>
      <c r="C522" s="1776" t="s">
        <v>3112</v>
      </c>
      <c r="D522" s="1776" t="s">
        <v>3113</v>
      </c>
      <c r="E522" s="1776" t="s">
        <v>3114</v>
      </c>
      <c r="F522" s="1776" t="s">
        <v>2313</v>
      </c>
      <c r="G522" s="1776" t="s">
        <v>22</v>
      </c>
      <c r="H522" s="1776" t="s">
        <v>22</v>
      </c>
      <c r="I522" s="1776" t="s">
        <v>892</v>
      </c>
    </row>
    <row r="523" spans="1:9" ht="11.25" customHeight="1">
      <c r="A523" s="1776" t="s">
        <v>2244</v>
      </c>
      <c r="B523" s="1776" t="s">
        <v>16</v>
      </c>
      <c r="C523" s="1776" t="s">
        <v>3118</v>
      </c>
      <c r="D523" s="1776" t="s">
        <v>3119</v>
      </c>
      <c r="E523" s="1776" t="s">
        <v>3120</v>
      </c>
      <c r="F523" s="1776" t="s">
        <v>2252</v>
      </c>
      <c r="G523" s="1776" t="s">
        <v>22</v>
      </c>
      <c r="H523" s="1776" t="s">
        <v>22</v>
      </c>
      <c r="I523" s="1776" t="s">
        <v>892</v>
      </c>
    </row>
    <row r="524" spans="1:9" ht="11.25" customHeight="1">
      <c r="A524" s="1776" t="s">
        <v>2244</v>
      </c>
      <c r="B524" s="1776" t="s">
        <v>16</v>
      </c>
      <c r="C524" s="1776" t="s">
        <v>3121</v>
      </c>
      <c r="D524" s="1776" t="s">
        <v>3122</v>
      </c>
      <c r="E524" s="1776" t="s">
        <v>3123</v>
      </c>
      <c r="F524" s="1776" t="s">
        <v>2252</v>
      </c>
      <c r="G524" s="1776" t="s">
        <v>22</v>
      </c>
      <c r="H524" s="1776" t="s">
        <v>22</v>
      </c>
      <c r="I524" s="1776" t="s">
        <v>892</v>
      </c>
    </row>
    <row r="525" spans="1:9" ht="11.25" customHeight="1">
      <c r="A525" s="1776" t="s">
        <v>2244</v>
      </c>
      <c r="B525" s="1776" t="s">
        <v>16</v>
      </c>
      <c r="C525" s="1776" t="s">
        <v>3127</v>
      </c>
      <c r="D525" s="1776" t="s">
        <v>3128</v>
      </c>
      <c r="E525" s="1776" t="s">
        <v>3129</v>
      </c>
      <c r="F525" s="1776" t="s">
        <v>2309</v>
      </c>
      <c r="G525" s="1776" t="s">
        <v>22</v>
      </c>
      <c r="H525" s="1776" t="s">
        <v>22</v>
      </c>
      <c r="I525" s="1776" t="s">
        <v>892</v>
      </c>
    </row>
    <row r="526" spans="1:9" ht="11.25" customHeight="1">
      <c r="A526" s="1776" t="s">
        <v>2244</v>
      </c>
      <c r="B526" s="1776" t="s">
        <v>16</v>
      </c>
      <c r="C526" s="1776" t="s">
        <v>3143</v>
      </c>
      <c r="D526" s="1776" t="s">
        <v>3144</v>
      </c>
      <c r="E526" s="1776" t="s">
        <v>3145</v>
      </c>
      <c r="F526" s="1776" t="s">
        <v>2261</v>
      </c>
      <c r="G526" s="1776" t="s">
        <v>22</v>
      </c>
      <c r="H526" s="1776" t="s">
        <v>22</v>
      </c>
      <c r="I526" s="1776" t="s">
        <v>892</v>
      </c>
    </row>
    <row r="527" spans="1:9" ht="11.25" customHeight="1">
      <c r="A527" s="1776" t="s">
        <v>2244</v>
      </c>
      <c r="B527" s="1776" t="s">
        <v>16</v>
      </c>
      <c r="C527" s="1776" t="s">
        <v>3149</v>
      </c>
      <c r="D527" s="1776" t="s">
        <v>3150</v>
      </c>
      <c r="E527" s="1776" t="s">
        <v>3151</v>
      </c>
      <c r="F527" s="1776" t="s">
        <v>2276</v>
      </c>
      <c r="G527" s="1776" t="s">
        <v>3152</v>
      </c>
      <c r="H527" s="1776" t="s">
        <v>22</v>
      </c>
      <c r="I527" s="1776" t="s">
        <v>892</v>
      </c>
    </row>
    <row r="528" spans="1:9" ht="11.25" customHeight="1">
      <c r="A528" s="1776" t="s">
        <v>2244</v>
      </c>
      <c r="B528" s="1776" t="s">
        <v>16</v>
      </c>
      <c r="C528" s="1776" t="s">
        <v>3153</v>
      </c>
      <c r="D528" s="1776" t="s">
        <v>3154</v>
      </c>
      <c r="E528" s="1776" t="s">
        <v>3155</v>
      </c>
      <c r="F528" s="1776" t="s">
        <v>2276</v>
      </c>
      <c r="G528" s="1776" t="s">
        <v>22</v>
      </c>
      <c r="H528" s="1776" t="s">
        <v>22</v>
      </c>
      <c r="I528" s="1776" t="s">
        <v>892</v>
      </c>
    </row>
    <row r="529" spans="1:9" ht="11.25" customHeight="1">
      <c r="A529" s="1776" t="s">
        <v>2244</v>
      </c>
      <c r="B529" s="1776" t="s">
        <v>16</v>
      </c>
      <c r="C529" s="1776" t="s">
        <v>3156</v>
      </c>
      <c r="D529" s="1776" t="s">
        <v>3157</v>
      </c>
      <c r="E529" s="1776" t="s">
        <v>3158</v>
      </c>
      <c r="F529" s="1776" t="s">
        <v>2962</v>
      </c>
      <c r="G529" s="1776" t="s">
        <v>22</v>
      </c>
      <c r="H529" s="1776" t="s">
        <v>22</v>
      </c>
      <c r="I529" s="1776" t="s">
        <v>892</v>
      </c>
    </row>
    <row r="530" spans="1:9" ht="11.25" customHeight="1">
      <c r="A530" s="1776" t="s">
        <v>2244</v>
      </c>
      <c r="B530" s="1776" t="s">
        <v>16</v>
      </c>
      <c r="C530" s="1776" t="s">
        <v>3165</v>
      </c>
      <c r="D530" s="1776" t="s">
        <v>3166</v>
      </c>
      <c r="E530" s="1776" t="s">
        <v>3167</v>
      </c>
      <c r="F530" s="1776" t="s">
        <v>2382</v>
      </c>
      <c r="G530" s="1776" t="s">
        <v>3168</v>
      </c>
      <c r="H530" s="1776" t="s">
        <v>22</v>
      </c>
      <c r="I530" s="1776" t="s">
        <v>892</v>
      </c>
    </row>
    <row r="531" spans="1:9" ht="11.25" customHeight="1">
      <c r="A531" s="1776" t="s">
        <v>2244</v>
      </c>
      <c r="B531" s="1776" t="s">
        <v>16</v>
      </c>
      <c r="C531" s="1776" t="s">
        <v>3178</v>
      </c>
      <c r="D531" s="1776" t="s">
        <v>3179</v>
      </c>
      <c r="E531" s="1776" t="s">
        <v>3180</v>
      </c>
      <c r="F531" s="1776" t="s">
        <v>2758</v>
      </c>
      <c r="G531" s="1776" t="s">
        <v>22</v>
      </c>
      <c r="H531" s="1776" t="s">
        <v>22</v>
      </c>
      <c r="I531" s="1776" t="s">
        <v>892</v>
      </c>
    </row>
    <row r="532" spans="1:9" ht="11.25" customHeight="1">
      <c r="A532" s="1776" t="s">
        <v>2244</v>
      </c>
      <c r="B532" s="1776" t="s">
        <v>16</v>
      </c>
      <c r="C532" s="1776" t="s">
        <v>3189</v>
      </c>
      <c r="D532" s="1776" t="s">
        <v>3190</v>
      </c>
      <c r="E532" s="1776" t="s">
        <v>3191</v>
      </c>
      <c r="F532" s="1776" t="s">
        <v>2382</v>
      </c>
      <c r="G532" s="1776" t="s">
        <v>22</v>
      </c>
      <c r="H532" s="1776" t="s">
        <v>22</v>
      </c>
      <c r="I532" s="1776" t="s">
        <v>892</v>
      </c>
    </row>
    <row r="533" spans="1:9" ht="11.25" customHeight="1">
      <c r="A533" s="1776" t="s">
        <v>2244</v>
      </c>
      <c r="B533" s="1776" t="s">
        <v>16</v>
      </c>
      <c r="C533" s="1776" t="s">
        <v>3208</v>
      </c>
      <c r="D533" s="1776" t="s">
        <v>3209</v>
      </c>
      <c r="E533" s="1776" t="s">
        <v>3210</v>
      </c>
      <c r="F533" s="1776" t="s">
        <v>2808</v>
      </c>
      <c r="G533" s="1776" t="s">
        <v>3211</v>
      </c>
      <c r="H533" s="1776" t="s">
        <v>22</v>
      </c>
      <c r="I533" s="1776" t="s">
        <v>892</v>
      </c>
    </row>
    <row r="534" spans="1:9" ht="11.25" customHeight="1">
      <c r="A534" s="1776" t="s">
        <v>2244</v>
      </c>
      <c r="B534" s="1776" t="s">
        <v>16</v>
      </c>
      <c r="C534" s="1776" t="s">
        <v>3212</v>
      </c>
      <c r="D534" s="1776" t="s">
        <v>3213</v>
      </c>
      <c r="E534" s="1776" t="s">
        <v>3214</v>
      </c>
      <c r="F534" s="1776" t="s">
        <v>2550</v>
      </c>
      <c r="G534" s="1776" t="s">
        <v>3215</v>
      </c>
      <c r="H534" s="1776" t="s">
        <v>22</v>
      </c>
      <c r="I534" s="1776" t="s">
        <v>892</v>
      </c>
    </row>
    <row r="535" spans="1:9" ht="11.25" customHeight="1">
      <c r="A535" s="1776" t="s">
        <v>2244</v>
      </c>
      <c r="B535" s="1776" t="s">
        <v>16</v>
      </c>
      <c r="C535" s="1776" t="s">
        <v>3220</v>
      </c>
      <c r="D535" s="1776" t="s">
        <v>3221</v>
      </c>
      <c r="E535" s="1776" t="s">
        <v>3222</v>
      </c>
      <c r="F535" s="1776" t="s">
        <v>2252</v>
      </c>
      <c r="G535" s="1776" t="s">
        <v>22</v>
      </c>
      <c r="H535" s="1776" t="s">
        <v>22</v>
      </c>
      <c r="I535" s="1776" t="s">
        <v>892</v>
      </c>
    </row>
    <row r="536" spans="1:9" ht="11.25" customHeight="1">
      <c r="A536" s="1776" t="s">
        <v>2244</v>
      </c>
      <c r="B536" s="1776" t="s">
        <v>16</v>
      </c>
      <c r="C536" s="1776" t="s">
        <v>3227</v>
      </c>
      <c r="D536" s="1776" t="s">
        <v>3228</v>
      </c>
      <c r="E536" s="1776" t="s">
        <v>3229</v>
      </c>
      <c r="F536" s="1776" t="s">
        <v>2372</v>
      </c>
      <c r="G536" s="1776" t="s">
        <v>3230</v>
      </c>
      <c r="H536" s="1776" t="s">
        <v>22</v>
      </c>
      <c r="I536" s="1776" t="s">
        <v>892</v>
      </c>
    </row>
    <row r="537" spans="1:9" ht="11.25" customHeight="1">
      <c r="A537" s="1776" t="s">
        <v>2244</v>
      </c>
      <c r="B537" s="1776" t="s">
        <v>16</v>
      </c>
      <c r="C537" s="1776" t="s">
        <v>3234</v>
      </c>
      <c r="D537" s="1776" t="s">
        <v>3235</v>
      </c>
      <c r="E537" s="1776" t="s">
        <v>3236</v>
      </c>
      <c r="F537" s="1776" t="s">
        <v>2550</v>
      </c>
      <c r="G537" s="1776" t="s">
        <v>22</v>
      </c>
      <c r="H537" s="1776" t="s">
        <v>22</v>
      </c>
      <c r="I537" s="1776" t="s">
        <v>892</v>
      </c>
    </row>
    <row r="538" spans="1:9" ht="11.25" customHeight="1">
      <c r="A538" s="1776" t="s">
        <v>2244</v>
      </c>
      <c r="B538" s="1776" t="s">
        <v>16</v>
      </c>
      <c r="C538" s="1776" t="s">
        <v>3237</v>
      </c>
      <c r="D538" s="1776" t="s">
        <v>3238</v>
      </c>
      <c r="E538" s="1776" t="s">
        <v>3239</v>
      </c>
      <c r="F538" s="1776" t="s">
        <v>2252</v>
      </c>
      <c r="G538" s="1776" t="s">
        <v>22</v>
      </c>
      <c r="H538" s="1776" t="s">
        <v>22</v>
      </c>
      <c r="I538" s="1776" t="s">
        <v>892</v>
      </c>
    </row>
    <row r="539" spans="1:9" ht="11.25" customHeight="1">
      <c r="A539" s="1776" t="s">
        <v>2244</v>
      </c>
      <c r="B539" s="1776" t="s">
        <v>16</v>
      </c>
      <c r="C539" s="1776" t="s">
        <v>3247</v>
      </c>
      <c r="D539" s="1776" t="s">
        <v>3248</v>
      </c>
      <c r="E539" s="1776" t="s">
        <v>3249</v>
      </c>
      <c r="F539" s="1776" t="s">
        <v>2527</v>
      </c>
      <c r="G539" s="1776" t="s">
        <v>22</v>
      </c>
      <c r="H539" s="1776" t="s">
        <v>22</v>
      </c>
      <c r="I539" s="1776" t="s">
        <v>892</v>
      </c>
    </row>
    <row r="540" spans="1:9" ht="11.25" customHeight="1">
      <c r="A540" s="1776" t="s">
        <v>2244</v>
      </c>
      <c r="B540" s="1776" t="s">
        <v>16</v>
      </c>
      <c r="C540" s="1776" t="s">
        <v>3250</v>
      </c>
      <c r="D540" s="1776" t="s">
        <v>3251</v>
      </c>
      <c r="E540" s="1776" t="s">
        <v>3252</v>
      </c>
      <c r="F540" s="1776" t="s">
        <v>2368</v>
      </c>
      <c r="G540" s="1776" t="s">
        <v>22</v>
      </c>
      <c r="H540" s="1776" t="s">
        <v>22</v>
      </c>
      <c r="I540" s="1776" t="s">
        <v>892</v>
      </c>
    </row>
    <row r="541" spans="1:9" ht="11.25" customHeight="1">
      <c r="A541" s="1776" t="s">
        <v>2244</v>
      </c>
      <c r="B541" s="1776" t="s">
        <v>16</v>
      </c>
      <c r="C541" s="1776" t="s">
        <v>3266</v>
      </c>
      <c r="D541" s="1776" t="s">
        <v>3267</v>
      </c>
      <c r="E541" s="1776" t="s">
        <v>3268</v>
      </c>
      <c r="F541" s="1776" t="s">
        <v>2266</v>
      </c>
      <c r="G541" s="1776" t="s">
        <v>22</v>
      </c>
      <c r="H541" s="1776" t="s">
        <v>22</v>
      </c>
      <c r="I541" s="1776" t="s">
        <v>892</v>
      </c>
    </row>
    <row r="542" spans="1:9" ht="11.25" customHeight="1">
      <c r="A542" s="1776" t="s">
        <v>2244</v>
      </c>
      <c r="B542" s="1776" t="s">
        <v>16</v>
      </c>
      <c r="C542" s="1776" t="s">
        <v>3269</v>
      </c>
      <c r="D542" s="1776" t="s">
        <v>3270</v>
      </c>
      <c r="E542" s="1776" t="s">
        <v>3271</v>
      </c>
      <c r="F542" s="1776" t="s">
        <v>2323</v>
      </c>
      <c r="G542" s="1776" t="s">
        <v>22</v>
      </c>
      <c r="H542" s="1776" t="s">
        <v>22</v>
      </c>
      <c r="I542" s="1776" t="s">
        <v>892</v>
      </c>
    </row>
    <row r="543" spans="1:9" ht="11.25" customHeight="1">
      <c r="A543" s="1776" t="s">
        <v>2244</v>
      </c>
      <c r="B543" s="1776" t="s">
        <v>16</v>
      </c>
      <c r="C543" s="1776" t="s">
        <v>3272</v>
      </c>
      <c r="D543" s="1776" t="s">
        <v>3273</v>
      </c>
      <c r="E543" s="1776" t="s">
        <v>3274</v>
      </c>
      <c r="F543" s="1776" t="s">
        <v>2294</v>
      </c>
      <c r="G543" s="1776" t="s">
        <v>22</v>
      </c>
      <c r="H543" s="1776" t="s">
        <v>22</v>
      </c>
      <c r="I543" s="1776" t="s">
        <v>892</v>
      </c>
    </row>
    <row r="544" spans="1:9" ht="11.25" customHeight="1">
      <c r="A544" s="1776" t="s">
        <v>2244</v>
      </c>
      <c r="B544" s="1776" t="s">
        <v>16</v>
      </c>
      <c r="C544" s="1776" t="s">
        <v>3275</v>
      </c>
      <c r="D544" s="1776" t="s">
        <v>3276</v>
      </c>
      <c r="E544" s="1776" t="s">
        <v>3277</v>
      </c>
      <c r="F544" s="1776" t="s">
        <v>2382</v>
      </c>
      <c r="G544" s="1776" t="s">
        <v>22</v>
      </c>
      <c r="H544" s="1776" t="s">
        <v>22</v>
      </c>
      <c r="I544" s="1776" t="s">
        <v>892</v>
      </c>
    </row>
    <row r="545" spans="1:9" ht="11.25" customHeight="1">
      <c r="A545" s="1776" t="s">
        <v>2244</v>
      </c>
      <c r="B545" s="1776" t="s">
        <v>16</v>
      </c>
      <c r="C545" s="1776" t="s">
        <v>3285</v>
      </c>
      <c r="D545" s="1776" t="s">
        <v>3286</v>
      </c>
      <c r="E545" s="1776" t="s">
        <v>3287</v>
      </c>
      <c r="F545" s="1776" t="s">
        <v>2690</v>
      </c>
      <c r="G545" s="1776" t="s">
        <v>22</v>
      </c>
      <c r="H545" s="1776" t="s">
        <v>3288</v>
      </c>
      <c r="I545" s="1776" t="s">
        <v>892</v>
      </c>
    </row>
    <row r="546" spans="1:9" ht="11.25" customHeight="1">
      <c r="A546" s="1776" t="s">
        <v>2244</v>
      </c>
      <c r="B546" s="1776" t="s">
        <v>16</v>
      </c>
      <c r="C546" s="1776" t="s">
        <v>3292</v>
      </c>
      <c r="D546" s="1776" t="s">
        <v>3293</v>
      </c>
      <c r="E546" s="1776" t="s">
        <v>3294</v>
      </c>
      <c r="F546" s="1776" t="s">
        <v>2623</v>
      </c>
      <c r="G546" s="1776" t="s">
        <v>22</v>
      </c>
      <c r="H546" s="1776" t="s">
        <v>22</v>
      </c>
      <c r="I546" s="1776" t="s">
        <v>892</v>
      </c>
    </row>
    <row r="547" spans="1:9" ht="11.25" customHeight="1">
      <c r="A547" s="1776" t="s">
        <v>2244</v>
      </c>
      <c r="B547" s="1776" t="s">
        <v>16</v>
      </c>
      <c r="C547" s="1776" t="s">
        <v>13</v>
      </c>
      <c r="D547" s="1776" t="s">
        <v>46</v>
      </c>
      <c r="E547" s="1776" t="s">
        <v>49</v>
      </c>
      <c r="F547" s="1776" t="s">
        <v>51</v>
      </c>
      <c r="G547" s="1776" t="s">
        <v>22</v>
      </c>
      <c r="H547" s="1776" t="s">
        <v>22</v>
      </c>
      <c r="I547" s="1776" t="s">
        <v>892</v>
      </c>
    </row>
    <row r="548" spans="1:9" ht="11.25" customHeight="1">
      <c r="A548" s="1776" t="s">
        <v>2244</v>
      </c>
      <c r="B548" s="1776" t="s">
        <v>16</v>
      </c>
      <c r="C548" s="1776" t="s">
        <v>3309</v>
      </c>
      <c r="D548" s="1776" t="s">
        <v>3310</v>
      </c>
      <c r="E548" s="1776" t="s">
        <v>3311</v>
      </c>
      <c r="F548" s="1776" t="s">
        <v>3312</v>
      </c>
      <c r="G548" s="1776" t="s">
        <v>22</v>
      </c>
      <c r="H548" s="1776" t="s">
        <v>22</v>
      </c>
      <c r="I548" s="1776" t="s">
        <v>892</v>
      </c>
    </row>
    <row r="549" spans="1:9" ht="11.25" customHeight="1">
      <c r="A549" s="1776" t="s">
        <v>2244</v>
      </c>
      <c r="B549" s="1776" t="s">
        <v>16</v>
      </c>
      <c r="C549" s="1776" t="s">
        <v>3313</v>
      </c>
      <c r="D549" s="1776" t="s">
        <v>3314</v>
      </c>
      <c r="E549" s="1776" t="s">
        <v>3315</v>
      </c>
      <c r="F549" s="1776" t="s">
        <v>2323</v>
      </c>
      <c r="G549" s="1776" t="s">
        <v>22</v>
      </c>
      <c r="H549" s="1776" t="s">
        <v>22</v>
      </c>
      <c r="I549" s="1776" t="s">
        <v>892</v>
      </c>
    </row>
    <row r="550" spans="1:9" ht="11.25" customHeight="1">
      <c r="A550" s="1776" t="s">
        <v>2244</v>
      </c>
      <c r="B550" s="1776" t="s">
        <v>16</v>
      </c>
      <c r="C550" s="1776" t="s">
        <v>3323</v>
      </c>
      <c r="D550" s="1776" t="s">
        <v>3324</v>
      </c>
      <c r="E550" s="1776" t="s">
        <v>3325</v>
      </c>
      <c r="F550" s="1776" t="s">
        <v>2500</v>
      </c>
      <c r="G550" s="1776" t="s">
        <v>22</v>
      </c>
      <c r="H550" s="1776" t="s">
        <v>22</v>
      </c>
      <c r="I550" s="1776" t="s">
        <v>892</v>
      </c>
    </row>
    <row r="551" spans="1:9" ht="11.25" customHeight="1">
      <c r="A551" s="1776" t="s">
        <v>2244</v>
      </c>
      <c r="B551" s="1776" t="s">
        <v>16</v>
      </c>
      <c r="C551" s="1776" t="s">
        <v>3329</v>
      </c>
      <c r="D551" s="1776" t="s">
        <v>3330</v>
      </c>
      <c r="E551" s="1776" t="s">
        <v>3331</v>
      </c>
      <c r="F551" s="1776" t="s">
        <v>2659</v>
      </c>
      <c r="G551" s="1776" t="s">
        <v>22</v>
      </c>
      <c r="H551" s="1776" t="s">
        <v>22</v>
      </c>
      <c r="I551" s="1776" t="s">
        <v>892</v>
      </c>
    </row>
    <row r="552" spans="1:9" ht="11.25" customHeight="1">
      <c r="A552" s="1776" t="s">
        <v>2244</v>
      </c>
      <c r="B552" s="1776" t="s">
        <v>16</v>
      </c>
      <c r="C552" s="1776" t="s">
        <v>3332</v>
      </c>
      <c r="D552" s="1776" t="s">
        <v>3333</v>
      </c>
      <c r="E552" s="1776" t="s">
        <v>3334</v>
      </c>
      <c r="F552" s="1776" t="s">
        <v>2257</v>
      </c>
      <c r="G552" s="1776" t="s">
        <v>22</v>
      </c>
      <c r="H552" s="1776" t="s">
        <v>22</v>
      </c>
      <c r="I552" s="1776" t="s">
        <v>892</v>
      </c>
    </row>
    <row r="553" spans="1:9" ht="11.25" customHeight="1">
      <c r="A553" s="1776" t="s">
        <v>2244</v>
      </c>
      <c r="B553" s="1776" t="s">
        <v>16</v>
      </c>
      <c r="C553" s="1776" t="s">
        <v>3341</v>
      </c>
      <c r="D553" s="1776" t="s">
        <v>3342</v>
      </c>
      <c r="E553" s="1776" t="s">
        <v>3343</v>
      </c>
      <c r="F553" s="1776" t="s">
        <v>3344</v>
      </c>
      <c r="G553" s="1776" t="s">
        <v>3345</v>
      </c>
      <c r="H553" s="1776" t="s">
        <v>22</v>
      </c>
      <c r="I553" s="1776" t="s">
        <v>892</v>
      </c>
    </row>
    <row r="554" spans="1:9" ht="11.25" customHeight="1">
      <c r="A554" s="1776" t="s">
        <v>2244</v>
      </c>
      <c r="B554" s="1776" t="s">
        <v>16</v>
      </c>
      <c r="C554" s="1776" t="s">
        <v>3346</v>
      </c>
      <c r="D554" s="1776" t="s">
        <v>3347</v>
      </c>
      <c r="E554" s="1776" t="s">
        <v>3348</v>
      </c>
      <c r="F554" s="1776" t="s">
        <v>2679</v>
      </c>
      <c r="G554" s="1776" t="s">
        <v>3349</v>
      </c>
      <c r="H554" s="1776" t="s">
        <v>22</v>
      </c>
      <c r="I554" s="1776" t="s">
        <v>892</v>
      </c>
    </row>
    <row r="555" spans="1:9" ht="11.25" customHeight="1">
      <c r="A555" s="1776" t="s">
        <v>2244</v>
      </c>
      <c r="B555" s="1776" t="s">
        <v>16</v>
      </c>
      <c r="C555" s="1776" t="s">
        <v>3368</v>
      </c>
      <c r="D555" s="1776" t="s">
        <v>3369</v>
      </c>
      <c r="E555" s="1776" t="s">
        <v>3370</v>
      </c>
      <c r="F555" s="1776" t="s">
        <v>2550</v>
      </c>
      <c r="G555" s="1776" t="s">
        <v>22</v>
      </c>
      <c r="H555" s="1776" t="s">
        <v>22</v>
      </c>
      <c r="I555" s="1776" t="s">
        <v>892</v>
      </c>
    </row>
    <row r="556" spans="1:9" ht="11.25" customHeight="1">
      <c r="A556" s="1776" t="s">
        <v>2244</v>
      </c>
      <c r="B556" s="1776" t="s">
        <v>16</v>
      </c>
      <c r="C556" s="1776" t="s">
        <v>3377</v>
      </c>
      <c r="D556" s="1776" t="s">
        <v>3378</v>
      </c>
      <c r="E556" s="1776" t="s">
        <v>3379</v>
      </c>
      <c r="F556" s="1776" t="s">
        <v>2252</v>
      </c>
      <c r="G556" s="1776" t="s">
        <v>22</v>
      </c>
      <c r="H556" s="1776" t="s">
        <v>22</v>
      </c>
      <c r="I556" s="1776" t="s">
        <v>892</v>
      </c>
    </row>
    <row r="557" spans="1:9" ht="11.25" customHeight="1">
      <c r="A557" s="1776" t="s">
        <v>2244</v>
      </c>
      <c r="B557" s="1776" t="s">
        <v>16</v>
      </c>
      <c r="C557" s="1776" t="s">
        <v>3380</v>
      </c>
      <c r="D557" s="1776" t="s">
        <v>3381</v>
      </c>
      <c r="E557" s="1776" t="s">
        <v>3382</v>
      </c>
      <c r="F557" s="1776" t="s">
        <v>2309</v>
      </c>
      <c r="G557" s="1776" t="s">
        <v>22</v>
      </c>
      <c r="H557" s="1776" t="s">
        <v>22</v>
      </c>
      <c r="I557" s="1776" t="s">
        <v>892</v>
      </c>
    </row>
    <row r="558" spans="1:9" ht="11.25" customHeight="1">
      <c r="A558" s="1776" t="s">
        <v>2244</v>
      </c>
      <c r="B558" s="1776" t="s">
        <v>16</v>
      </c>
      <c r="C558" s="1776" t="s">
        <v>3392</v>
      </c>
      <c r="D558" s="1776" t="s">
        <v>3393</v>
      </c>
      <c r="E558" s="1776" t="s">
        <v>3394</v>
      </c>
      <c r="F558" s="1776" t="s">
        <v>2887</v>
      </c>
      <c r="G558" s="1776" t="s">
        <v>22</v>
      </c>
      <c r="H558" s="1776" t="s">
        <v>22</v>
      </c>
      <c r="I558" s="1776" t="s">
        <v>892</v>
      </c>
    </row>
    <row r="559" spans="1:9" ht="11.25" customHeight="1">
      <c r="A559" s="1776" t="s">
        <v>2244</v>
      </c>
      <c r="B559" s="1776" t="s">
        <v>16</v>
      </c>
      <c r="C559" s="1776" t="s">
        <v>3395</v>
      </c>
      <c r="D559" s="1776" t="s">
        <v>3396</v>
      </c>
      <c r="E559" s="1776" t="s">
        <v>3397</v>
      </c>
      <c r="F559" s="1776" t="s">
        <v>2550</v>
      </c>
      <c r="G559" s="1776" t="s">
        <v>22</v>
      </c>
      <c r="H559" s="1776" t="s">
        <v>22</v>
      </c>
      <c r="I559" s="1776" t="s">
        <v>892</v>
      </c>
    </row>
    <row r="560" spans="1:9" ht="11.25" customHeight="1">
      <c r="A560" s="1776" t="s">
        <v>2244</v>
      </c>
      <c r="B560" s="1776" t="s">
        <v>16</v>
      </c>
      <c r="C560" s="1776" t="s">
        <v>3401</v>
      </c>
      <c r="D560" s="1776" t="s">
        <v>3402</v>
      </c>
      <c r="E560" s="1776" t="s">
        <v>3403</v>
      </c>
      <c r="F560" s="1776" t="s">
        <v>2276</v>
      </c>
      <c r="G560" s="1776" t="s">
        <v>22</v>
      </c>
      <c r="H560" s="1776" t="s">
        <v>22</v>
      </c>
      <c r="I560" s="1776" t="s">
        <v>892</v>
      </c>
    </row>
    <row r="561" spans="1:9" ht="11.25" customHeight="1">
      <c r="A561" s="1776" t="s">
        <v>2244</v>
      </c>
      <c r="B561" s="1776" t="s">
        <v>16</v>
      </c>
      <c r="C561" s="1776" t="s">
        <v>3404</v>
      </c>
      <c r="D561" s="1776" t="s">
        <v>3405</v>
      </c>
      <c r="E561" s="1776" t="s">
        <v>3406</v>
      </c>
      <c r="F561" s="1776" t="s">
        <v>3298</v>
      </c>
      <c r="G561" s="1776" t="s">
        <v>22</v>
      </c>
      <c r="H561" s="1776" t="s">
        <v>22</v>
      </c>
      <c r="I561" s="1776" t="s">
        <v>892</v>
      </c>
    </row>
    <row r="562" spans="1:9" ht="11.25" customHeight="1">
      <c r="A562" s="1776" t="s">
        <v>2244</v>
      </c>
      <c r="B562" s="1776" t="s">
        <v>16</v>
      </c>
      <c r="C562" s="1776" t="s">
        <v>3407</v>
      </c>
      <c r="D562" s="1776" t="s">
        <v>3408</v>
      </c>
      <c r="E562" s="1776" t="s">
        <v>3409</v>
      </c>
      <c r="F562" s="1776" t="s">
        <v>2808</v>
      </c>
      <c r="G562" s="1776" t="s">
        <v>22</v>
      </c>
      <c r="H562" s="1776" t="s">
        <v>22</v>
      </c>
      <c r="I562" s="1776" t="s">
        <v>892</v>
      </c>
    </row>
    <row r="563" spans="1:9" ht="11.25" customHeight="1">
      <c r="A563" s="1776" t="s">
        <v>2244</v>
      </c>
      <c r="B563" s="1776" t="s">
        <v>16</v>
      </c>
      <c r="C563" s="1776" t="s">
        <v>3410</v>
      </c>
      <c r="D563" s="1776" t="s">
        <v>3411</v>
      </c>
      <c r="E563" s="1776" t="s">
        <v>3412</v>
      </c>
      <c r="F563" s="1776" t="s">
        <v>2287</v>
      </c>
      <c r="G563" s="1776" t="s">
        <v>22</v>
      </c>
      <c r="H563" s="1776" t="s">
        <v>22</v>
      </c>
      <c r="I563" s="1776" t="s">
        <v>892</v>
      </c>
    </row>
    <row r="564" spans="1:9" ht="11.25" customHeight="1">
      <c r="A564" s="1776" t="s">
        <v>2244</v>
      </c>
      <c r="B564" s="1776" t="s">
        <v>16</v>
      </c>
      <c r="C564" s="1776" t="s">
        <v>3413</v>
      </c>
      <c r="D564" s="1776" t="s">
        <v>3414</v>
      </c>
      <c r="E564" s="1776" t="s">
        <v>3415</v>
      </c>
      <c r="F564" s="1776" t="s">
        <v>2862</v>
      </c>
      <c r="G564" s="1776" t="s">
        <v>22</v>
      </c>
      <c r="H564" s="1776" t="s">
        <v>22</v>
      </c>
      <c r="I564" s="1776" t="s">
        <v>892</v>
      </c>
    </row>
    <row r="565" spans="1:9" ht="11.25" customHeight="1">
      <c r="A565" s="1776" t="s">
        <v>2244</v>
      </c>
      <c r="B565" s="1776" t="s">
        <v>16</v>
      </c>
      <c r="C565" s="1776" t="s">
        <v>3416</v>
      </c>
      <c r="D565" s="1776" t="s">
        <v>3417</v>
      </c>
      <c r="E565" s="1776" t="s">
        <v>3418</v>
      </c>
      <c r="F565" s="1776" t="s">
        <v>2962</v>
      </c>
      <c r="G565" s="1776" t="s">
        <v>22</v>
      </c>
      <c r="H565" s="1776" t="s">
        <v>22</v>
      </c>
      <c r="I565" s="1776" t="s">
        <v>892</v>
      </c>
    </row>
    <row r="566" spans="1:9" ht="11.25" customHeight="1">
      <c r="A566" s="1776" t="s">
        <v>2244</v>
      </c>
      <c r="B566" s="1776" t="s">
        <v>16</v>
      </c>
      <c r="C566" s="1776" t="s">
        <v>3419</v>
      </c>
      <c r="D566" s="1776" t="s">
        <v>3420</v>
      </c>
      <c r="E566" s="1776" t="s">
        <v>3421</v>
      </c>
      <c r="F566" s="1776" t="s">
        <v>3422</v>
      </c>
      <c r="G566" s="1776" t="s">
        <v>3423</v>
      </c>
      <c r="H566" s="1776" t="s">
        <v>22</v>
      </c>
      <c r="I566" s="1776" t="s">
        <v>892</v>
      </c>
    </row>
    <row r="567" spans="1:9" ht="11.25" customHeight="1">
      <c r="A567" s="1776" t="s">
        <v>2244</v>
      </c>
      <c r="B567" s="1776" t="s">
        <v>16</v>
      </c>
      <c r="C567" s="1776" t="s">
        <v>3424</v>
      </c>
      <c r="D567" s="1776" t="s">
        <v>3425</v>
      </c>
      <c r="E567" s="1776" t="s">
        <v>3426</v>
      </c>
      <c r="F567" s="1776" t="s">
        <v>2276</v>
      </c>
      <c r="G567" s="1776" t="s">
        <v>22</v>
      </c>
      <c r="H567" s="1776" t="s">
        <v>22</v>
      </c>
      <c r="I567" s="1776" t="s">
        <v>892</v>
      </c>
    </row>
    <row r="568" spans="1:9" ht="11.25" customHeight="1">
      <c r="A568" s="1776" t="s">
        <v>2244</v>
      </c>
      <c r="B568" s="1776" t="s">
        <v>16</v>
      </c>
      <c r="C568" s="1776" t="s">
        <v>3430</v>
      </c>
      <c r="D568" s="1776" t="s">
        <v>3431</v>
      </c>
      <c r="E568" s="1776" t="s">
        <v>3432</v>
      </c>
      <c r="F568" s="1776" t="s">
        <v>3433</v>
      </c>
      <c r="G568" s="1776" t="s">
        <v>22</v>
      </c>
      <c r="H568" s="1776" t="s">
        <v>22</v>
      </c>
      <c r="I568" s="1776" t="s">
        <v>892</v>
      </c>
    </row>
    <row r="569" spans="1:9" ht="11.25" customHeight="1">
      <c r="A569" s="1776" t="s">
        <v>2244</v>
      </c>
      <c r="B569" s="1776" t="s">
        <v>16</v>
      </c>
      <c r="C569" s="1776" t="s">
        <v>3434</v>
      </c>
      <c r="D569" s="1776" t="s">
        <v>3435</v>
      </c>
      <c r="E569" s="1776" t="s">
        <v>3436</v>
      </c>
      <c r="F569" s="1776" t="s">
        <v>2527</v>
      </c>
      <c r="G569" s="1776" t="s">
        <v>22</v>
      </c>
      <c r="H569" s="1776" t="s">
        <v>22</v>
      </c>
      <c r="I569" s="1776" t="s">
        <v>892</v>
      </c>
    </row>
    <row r="570" spans="1:9" ht="11.25" customHeight="1">
      <c r="A570" s="1776" t="s">
        <v>2244</v>
      </c>
      <c r="B570" s="1776" t="s">
        <v>16</v>
      </c>
      <c r="C570" s="1776" t="s">
        <v>3446</v>
      </c>
      <c r="D570" s="1776" t="s">
        <v>3447</v>
      </c>
      <c r="E570" s="1776" t="s">
        <v>3448</v>
      </c>
      <c r="F570" s="1776" t="s">
        <v>2302</v>
      </c>
      <c r="G570" s="1776" t="s">
        <v>22</v>
      </c>
      <c r="H570" s="1776" t="s">
        <v>22</v>
      </c>
      <c r="I570" s="1776" t="s">
        <v>892</v>
      </c>
    </row>
    <row r="571" spans="1:9" ht="11.25" customHeight="1">
      <c r="A571" s="1776" t="s">
        <v>2244</v>
      </c>
      <c r="B571" s="1776" t="s">
        <v>16</v>
      </c>
      <c r="C571" s="1776" t="s">
        <v>3452</v>
      </c>
      <c r="D571" s="1776" t="s">
        <v>3453</v>
      </c>
      <c r="E571" s="1776" t="s">
        <v>3454</v>
      </c>
      <c r="F571" s="1776" t="s">
        <v>2323</v>
      </c>
      <c r="G571" s="1776" t="s">
        <v>22</v>
      </c>
      <c r="H571" s="1776" t="s">
        <v>22</v>
      </c>
      <c r="I571" s="1776" t="s">
        <v>892</v>
      </c>
    </row>
    <row r="572" spans="1:9" ht="11.25" customHeight="1">
      <c r="A572" s="1776" t="s">
        <v>2244</v>
      </c>
      <c r="B572" s="1776" t="s">
        <v>16</v>
      </c>
      <c r="C572" s="1776" t="s">
        <v>3455</v>
      </c>
      <c r="D572" s="1776" t="s">
        <v>3456</v>
      </c>
      <c r="E572" s="1776" t="s">
        <v>3457</v>
      </c>
      <c r="F572" s="1776" t="s">
        <v>2323</v>
      </c>
      <c r="G572" s="1776" t="s">
        <v>22</v>
      </c>
      <c r="H572" s="1776" t="s">
        <v>22</v>
      </c>
      <c r="I572" s="1776" t="s">
        <v>892</v>
      </c>
    </row>
    <row r="573" spans="1:9" ht="11.25" customHeight="1">
      <c r="A573" s="1776" t="s">
        <v>2244</v>
      </c>
      <c r="B573" s="1776" t="s">
        <v>16</v>
      </c>
      <c r="C573" s="1776" t="s">
        <v>3461</v>
      </c>
      <c r="D573" s="1776" t="s">
        <v>3462</v>
      </c>
      <c r="E573" s="1776" t="s">
        <v>3463</v>
      </c>
      <c r="F573" s="1776" t="s">
        <v>2252</v>
      </c>
      <c r="G573" s="1776" t="s">
        <v>22</v>
      </c>
      <c r="H573" s="1776" t="s">
        <v>22</v>
      </c>
      <c r="I573" s="1776" t="s">
        <v>892</v>
      </c>
    </row>
    <row r="574" spans="1:9" ht="11.25" customHeight="1">
      <c r="A574" s="1776" t="s">
        <v>2244</v>
      </c>
      <c r="B574" s="1776" t="s">
        <v>16</v>
      </c>
      <c r="C574" s="1776" t="s">
        <v>3475</v>
      </c>
      <c r="D574" s="1776" t="s">
        <v>3476</v>
      </c>
      <c r="E574" s="1776" t="s">
        <v>3477</v>
      </c>
      <c r="F574" s="1776" t="s">
        <v>2252</v>
      </c>
      <c r="G574" s="1776" t="s">
        <v>22</v>
      </c>
      <c r="H574" s="1776" t="s">
        <v>22</v>
      </c>
      <c r="I574" s="1776" t="s">
        <v>892</v>
      </c>
    </row>
    <row r="575" spans="1:9" ht="11.25" customHeight="1">
      <c r="A575" s="1776" t="s">
        <v>2244</v>
      </c>
      <c r="B575" s="1776" t="s">
        <v>16</v>
      </c>
      <c r="C575" s="1776" t="s">
        <v>3481</v>
      </c>
      <c r="D575" s="1776" t="s">
        <v>3482</v>
      </c>
      <c r="E575" s="1776" t="s">
        <v>3483</v>
      </c>
      <c r="F575" s="1776" t="s">
        <v>2313</v>
      </c>
      <c r="G575" s="1776" t="s">
        <v>22</v>
      </c>
      <c r="H575" s="1776" t="s">
        <v>22</v>
      </c>
      <c r="I575" s="1776" t="s">
        <v>892</v>
      </c>
    </row>
    <row r="576" spans="1:9" ht="11.25" customHeight="1">
      <c r="A576" s="1776" t="s">
        <v>2244</v>
      </c>
      <c r="B576" s="1776" t="s">
        <v>16</v>
      </c>
      <c r="C576" s="1776" t="s">
        <v>3490</v>
      </c>
      <c r="D576" s="1776" t="s">
        <v>3491</v>
      </c>
      <c r="E576" s="1776" t="s">
        <v>3492</v>
      </c>
      <c r="F576" s="1776" t="s">
        <v>2252</v>
      </c>
      <c r="G576" s="1776" t="s">
        <v>22</v>
      </c>
      <c r="H576" s="1776" t="s">
        <v>22</v>
      </c>
      <c r="I576" s="1776" t="s">
        <v>892</v>
      </c>
    </row>
    <row r="577" spans="1:9" ht="11.25" customHeight="1">
      <c r="A577" s="1776" t="s">
        <v>2244</v>
      </c>
      <c r="B577" s="1776" t="s">
        <v>16</v>
      </c>
      <c r="C577" s="1776" t="s">
        <v>3496</v>
      </c>
      <c r="D577" s="1776" t="s">
        <v>3497</v>
      </c>
      <c r="E577" s="1776" t="s">
        <v>3498</v>
      </c>
      <c r="F577" s="1776" t="s">
        <v>2252</v>
      </c>
      <c r="G577" s="1776" t="s">
        <v>3499</v>
      </c>
      <c r="H577" s="1776" t="s">
        <v>22</v>
      </c>
      <c r="I577" s="1776" t="s">
        <v>892</v>
      </c>
    </row>
    <row r="578" spans="1:9" ht="11.25" customHeight="1">
      <c r="A578" s="1776" t="s">
        <v>2244</v>
      </c>
      <c r="B578" s="1776" t="s">
        <v>16</v>
      </c>
      <c r="C578" s="1776" t="s">
        <v>3500</v>
      </c>
      <c r="D578" s="1776" t="s">
        <v>3501</v>
      </c>
      <c r="E578" s="1776" t="s">
        <v>3502</v>
      </c>
      <c r="F578" s="1776" t="s">
        <v>2294</v>
      </c>
      <c r="G578" s="1776" t="s">
        <v>22</v>
      </c>
      <c r="H578" s="1776" t="s">
        <v>22</v>
      </c>
      <c r="I578" s="1776" t="s">
        <v>892</v>
      </c>
    </row>
    <row r="579" spans="1:9" ht="11.25" customHeight="1">
      <c r="A579" s="1776" t="s">
        <v>2244</v>
      </c>
      <c r="B579" s="1776" t="s">
        <v>16</v>
      </c>
      <c r="C579" s="1776" t="s">
        <v>3512</v>
      </c>
      <c r="D579" s="1776" t="s">
        <v>3513</v>
      </c>
      <c r="E579" s="1776" t="s">
        <v>3514</v>
      </c>
      <c r="F579" s="1776" t="s">
        <v>2473</v>
      </c>
      <c r="G579" s="1776" t="s">
        <v>22</v>
      </c>
      <c r="H579" s="1776" t="s">
        <v>22</v>
      </c>
      <c r="I579" s="1776" t="s">
        <v>892</v>
      </c>
    </row>
    <row r="580" spans="1:9" ht="11.25" customHeight="1">
      <c r="A580" s="1776" t="s">
        <v>2244</v>
      </c>
      <c r="B580" s="1776" t="s">
        <v>16</v>
      </c>
      <c r="C580" s="1776" t="s">
        <v>3518</v>
      </c>
      <c r="D580" s="1776" t="s">
        <v>3519</v>
      </c>
      <c r="E580" s="1776" t="s">
        <v>3520</v>
      </c>
      <c r="F580" s="1776" t="s">
        <v>2382</v>
      </c>
      <c r="G580" s="1776" t="s">
        <v>22</v>
      </c>
      <c r="H580" s="1776" t="s">
        <v>22</v>
      </c>
      <c r="I580" s="1776" t="s">
        <v>892</v>
      </c>
    </row>
    <row r="581" spans="1:9" ht="11.25" customHeight="1">
      <c r="A581" s="1776" t="s">
        <v>2244</v>
      </c>
      <c r="B581" s="1776" t="s">
        <v>16</v>
      </c>
      <c r="C581" s="1776" t="s">
        <v>3521</v>
      </c>
      <c r="D581" s="1776" t="s">
        <v>3522</v>
      </c>
      <c r="E581" s="1776" t="s">
        <v>3523</v>
      </c>
      <c r="F581" s="1776" t="s">
        <v>2473</v>
      </c>
      <c r="G581" s="1776" t="s">
        <v>22</v>
      </c>
      <c r="H581" s="1776" t="s">
        <v>22</v>
      </c>
      <c r="I581" s="1776" t="s">
        <v>892</v>
      </c>
    </row>
    <row r="582" spans="1:9" ht="11.25" customHeight="1">
      <c r="A582" s="1776" t="s">
        <v>2244</v>
      </c>
      <c r="B582" s="1776" t="s">
        <v>16</v>
      </c>
      <c r="C582" s="1776" t="s">
        <v>3527</v>
      </c>
      <c r="D582" s="1776" t="s">
        <v>3528</v>
      </c>
      <c r="E582" s="1776" t="s">
        <v>3529</v>
      </c>
      <c r="F582" s="1776" t="s">
        <v>2808</v>
      </c>
      <c r="G582" s="1776" t="s">
        <v>22</v>
      </c>
      <c r="H582" s="1776" t="s">
        <v>22</v>
      </c>
      <c r="I582" s="1776" t="s">
        <v>892</v>
      </c>
    </row>
    <row r="583" spans="1:9" ht="11.25" customHeight="1">
      <c r="A583" s="1776" t="s">
        <v>2244</v>
      </c>
      <c r="B583" s="1776" t="s">
        <v>16</v>
      </c>
      <c r="C583" s="1776" t="s">
        <v>3530</v>
      </c>
      <c r="D583" s="1776" t="s">
        <v>3531</v>
      </c>
      <c r="E583" s="1776" t="s">
        <v>3532</v>
      </c>
      <c r="F583" s="1776" t="s">
        <v>2252</v>
      </c>
      <c r="G583" s="1776" t="s">
        <v>3533</v>
      </c>
      <c r="H583" s="1776" t="s">
        <v>22</v>
      </c>
      <c r="I583" s="1776" t="s">
        <v>892</v>
      </c>
    </row>
    <row r="584" spans="1:9" ht="11.25" customHeight="1">
      <c r="A584" s="1776" t="s">
        <v>2244</v>
      </c>
      <c r="B584" s="1776" t="s">
        <v>16</v>
      </c>
      <c r="C584" s="1776" t="s">
        <v>3543</v>
      </c>
      <c r="D584" s="1776" t="s">
        <v>3544</v>
      </c>
      <c r="E584" s="1776" t="s">
        <v>2297</v>
      </c>
      <c r="F584" s="1776" t="s">
        <v>3545</v>
      </c>
      <c r="G584" s="1776" t="s">
        <v>22</v>
      </c>
      <c r="H584" s="1776" t="s">
        <v>22</v>
      </c>
      <c r="I584" s="1776" t="s">
        <v>892</v>
      </c>
    </row>
    <row r="585" spans="1:9" ht="11.25" customHeight="1">
      <c r="A585" s="1776" t="s">
        <v>2244</v>
      </c>
      <c r="B585" s="1776" t="s">
        <v>16</v>
      </c>
      <c r="C585" s="1776" t="s">
        <v>3569</v>
      </c>
      <c r="D585" s="1776" t="s">
        <v>3570</v>
      </c>
      <c r="E585" s="1776" t="s">
        <v>3571</v>
      </c>
      <c r="F585" s="1776" t="s">
        <v>2302</v>
      </c>
      <c r="G585" s="1776" t="s">
        <v>22</v>
      </c>
      <c r="H585" s="1776" t="s">
        <v>22</v>
      </c>
      <c r="I585" s="1776" t="s">
        <v>892</v>
      </c>
    </row>
    <row r="586" spans="1:9" ht="11.25" customHeight="1">
      <c r="A586" s="1776" t="s">
        <v>2244</v>
      </c>
      <c r="B586" s="1776" t="s">
        <v>16</v>
      </c>
      <c r="C586" s="1776" t="s">
        <v>3584</v>
      </c>
      <c r="D586" s="1776" t="s">
        <v>3585</v>
      </c>
      <c r="E586" s="1776" t="s">
        <v>3586</v>
      </c>
      <c r="F586" s="1776" t="s">
        <v>2446</v>
      </c>
      <c r="G586" s="1776" t="s">
        <v>22</v>
      </c>
      <c r="H586" s="1776" t="s">
        <v>22</v>
      </c>
      <c r="I586" s="1776" t="s">
        <v>892</v>
      </c>
    </row>
    <row r="587" spans="1:9" ht="11.25" customHeight="1">
      <c r="A587" s="1776" t="s">
        <v>2244</v>
      </c>
      <c r="B587" s="1776" t="s">
        <v>16</v>
      </c>
      <c r="C587" s="1776" t="s">
        <v>22</v>
      </c>
      <c r="D587" s="1776" t="s">
        <v>3590</v>
      </c>
      <c r="E587" s="1776" t="s">
        <v>3591</v>
      </c>
      <c r="F587" s="1776" t="s">
        <v>2252</v>
      </c>
      <c r="G587" s="1776" t="s">
        <v>22</v>
      </c>
      <c r="H587" s="1776" t="s">
        <v>22</v>
      </c>
      <c r="I587" s="1776" t="s">
        <v>892</v>
      </c>
    </row>
    <row r="588" spans="1:9" ht="11.25" customHeight="1">
      <c r="A588" s="1776" t="s">
        <v>2244</v>
      </c>
      <c r="B588" s="1776" t="s">
        <v>16</v>
      </c>
      <c r="C588" s="1776" t="s">
        <v>3602</v>
      </c>
      <c r="D588" s="1776" t="s">
        <v>3603</v>
      </c>
      <c r="E588" s="1776" t="s">
        <v>3604</v>
      </c>
      <c r="F588" s="1776" t="s">
        <v>2252</v>
      </c>
      <c r="G588" s="1776" t="s">
        <v>22</v>
      </c>
      <c r="H588" s="1776" t="s">
        <v>22</v>
      </c>
      <c r="I588" s="1776" t="s">
        <v>892</v>
      </c>
    </row>
    <row r="589" spans="1:9" ht="11.25" customHeight="1">
      <c r="A589" s="1776" t="s">
        <v>2244</v>
      </c>
      <c r="B589" s="1776" t="s">
        <v>16</v>
      </c>
      <c r="C589" s="1776" t="s">
        <v>3611</v>
      </c>
      <c r="D589" s="1776" t="s">
        <v>3612</v>
      </c>
      <c r="E589" s="1776" t="s">
        <v>3613</v>
      </c>
      <c r="F589" s="1776" t="s">
        <v>3545</v>
      </c>
      <c r="G589" s="1776" t="s">
        <v>22</v>
      </c>
      <c r="H589" s="1776" t="s">
        <v>22</v>
      </c>
      <c r="I589" s="1776" t="s">
        <v>892</v>
      </c>
    </row>
    <row r="590" spans="1:9" ht="11.25" customHeight="1">
      <c r="A590" s="1776" t="s">
        <v>2244</v>
      </c>
      <c r="B590" s="1776" t="s">
        <v>16</v>
      </c>
      <c r="C590" s="1776" t="s">
        <v>3614</v>
      </c>
      <c r="D590" s="1776" t="s">
        <v>3612</v>
      </c>
      <c r="E590" s="1776" t="s">
        <v>3613</v>
      </c>
      <c r="F590" s="1776" t="s">
        <v>2428</v>
      </c>
      <c r="G590" s="1776" t="s">
        <v>22</v>
      </c>
      <c r="H590" s="1776" t="s">
        <v>22</v>
      </c>
      <c r="I590" s="1776" t="s">
        <v>892</v>
      </c>
    </row>
    <row r="591" spans="1:9" ht="11.25" customHeight="1">
      <c r="A591" s="1776" t="s">
        <v>2244</v>
      </c>
      <c r="B591" s="1776" t="s">
        <v>16</v>
      </c>
      <c r="C591" s="1776" t="s">
        <v>3622</v>
      </c>
      <c r="D591" s="1776" t="s">
        <v>3623</v>
      </c>
      <c r="E591" s="1776" t="s">
        <v>3624</v>
      </c>
      <c r="F591" s="1776" t="s">
        <v>2309</v>
      </c>
      <c r="G591" s="1776" t="s">
        <v>22</v>
      </c>
      <c r="H591" s="1776" t="s">
        <v>22</v>
      </c>
      <c r="I591" s="1776" t="s">
        <v>892</v>
      </c>
    </row>
    <row r="592" spans="1:9" ht="11.25" customHeight="1">
      <c r="A592" s="1776" t="s">
        <v>2244</v>
      </c>
      <c r="B592" s="1776" t="s">
        <v>16</v>
      </c>
      <c r="C592" s="1776" t="s">
        <v>3645</v>
      </c>
      <c r="D592" s="1776" t="s">
        <v>3646</v>
      </c>
      <c r="E592" s="1776" t="s">
        <v>3647</v>
      </c>
      <c r="F592" s="1776" t="s">
        <v>2646</v>
      </c>
      <c r="G592" s="1776" t="s">
        <v>22</v>
      </c>
      <c r="H592" s="1776" t="s">
        <v>22</v>
      </c>
      <c r="I592" s="1776" t="s">
        <v>892</v>
      </c>
    </row>
    <row r="593" spans="1:9" ht="11.25" customHeight="1">
      <c r="A593" s="1776" t="s">
        <v>2244</v>
      </c>
      <c r="B593" s="1776" t="s">
        <v>16</v>
      </c>
      <c r="C593" s="1776" t="s">
        <v>3648</v>
      </c>
      <c r="D593" s="1776" t="s">
        <v>3649</v>
      </c>
      <c r="E593" s="1776" t="s">
        <v>3650</v>
      </c>
      <c r="F593" s="1776" t="s">
        <v>2631</v>
      </c>
      <c r="G593" s="1776" t="s">
        <v>3651</v>
      </c>
      <c r="H593" s="1776" t="s">
        <v>22</v>
      </c>
      <c r="I593" s="1776" t="s">
        <v>892</v>
      </c>
    </row>
    <row r="594" spans="1:9" ht="11.25" customHeight="1">
      <c r="A594" s="1776" t="s">
        <v>2244</v>
      </c>
      <c r="B594" s="1776" t="s">
        <v>16</v>
      </c>
      <c r="C594" s="1776" t="s">
        <v>3655</v>
      </c>
      <c r="D594" s="1776" t="s">
        <v>3656</v>
      </c>
      <c r="E594" s="1776" t="s">
        <v>3657</v>
      </c>
      <c r="F594" s="1776" t="s">
        <v>3302</v>
      </c>
      <c r="G594" s="1776" t="s">
        <v>22</v>
      </c>
      <c r="H594" s="1776" t="s">
        <v>22</v>
      </c>
      <c r="I594" s="1776" t="s">
        <v>892</v>
      </c>
    </row>
    <row r="595" spans="1:9" ht="11.25" customHeight="1">
      <c r="A595" s="1776" t="s">
        <v>2244</v>
      </c>
      <c r="B595" s="1776" t="s">
        <v>16</v>
      </c>
      <c r="C595" s="1776" t="s">
        <v>3658</v>
      </c>
      <c r="D595" s="1776" t="s">
        <v>3659</v>
      </c>
      <c r="E595" s="1776" t="s">
        <v>3660</v>
      </c>
      <c r="F595" s="1776" t="s">
        <v>3661</v>
      </c>
      <c r="G595" s="1776" t="s">
        <v>22</v>
      </c>
      <c r="H595" s="1776" t="s">
        <v>22</v>
      </c>
      <c r="I595" s="1776" t="s">
        <v>892</v>
      </c>
    </row>
    <row r="596" spans="1:9" ht="11.25" customHeight="1">
      <c r="A596" s="1776" t="s">
        <v>2244</v>
      </c>
      <c r="B596" s="1776" t="s">
        <v>16</v>
      </c>
      <c r="C596" s="1776" t="s">
        <v>3662</v>
      </c>
      <c r="D596" s="1776" t="s">
        <v>3663</v>
      </c>
      <c r="E596" s="1776" t="s">
        <v>2247</v>
      </c>
      <c r="F596" s="1776" t="s">
        <v>3664</v>
      </c>
      <c r="G596" s="1776" t="s">
        <v>22</v>
      </c>
      <c r="H596" s="1776" t="s">
        <v>22</v>
      </c>
      <c r="I596" s="1776" t="s">
        <v>892</v>
      </c>
    </row>
    <row r="597" spans="1:9" ht="11.25" customHeight="1">
      <c r="A597" s="1776" t="s">
        <v>2244</v>
      </c>
      <c r="B597" s="1776" t="s">
        <v>16</v>
      </c>
      <c r="C597" s="1776" t="s">
        <v>3678</v>
      </c>
      <c r="D597" s="1776" t="s">
        <v>3679</v>
      </c>
      <c r="E597" s="1776" t="s">
        <v>3680</v>
      </c>
      <c r="F597" s="1776" t="s">
        <v>3681</v>
      </c>
      <c r="G597" s="1776" t="s">
        <v>22</v>
      </c>
      <c r="H597" s="1776" t="s">
        <v>22</v>
      </c>
      <c r="I597" s="1776" t="s">
        <v>852</v>
      </c>
    </row>
    <row r="598" spans="1:9" ht="11.25" customHeight="1">
      <c r="A598" s="1776" t="s">
        <v>2244</v>
      </c>
      <c r="B598" s="1776" t="s">
        <v>16</v>
      </c>
      <c r="C598" s="1776" t="s">
        <v>2273</v>
      </c>
      <c r="D598" s="1776" t="s">
        <v>2274</v>
      </c>
      <c r="E598" s="1776" t="s">
        <v>2275</v>
      </c>
      <c r="F598" s="1776" t="s">
        <v>2276</v>
      </c>
      <c r="G598" s="1776" t="s">
        <v>22</v>
      </c>
      <c r="H598" s="1776" t="s">
        <v>22</v>
      </c>
      <c r="I598" s="1776" t="s">
        <v>852</v>
      </c>
    </row>
    <row r="599" spans="1:9" ht="11.25" customHeight="1">
      <c r="A599" s="1776" t="s">
        <v>2244</v>
      </c>
      <c r="B599" s="1776" t="s">
        <v>16</v>
      </c>
      <c r="C599" s="1776" t="s">
        <v>3682</v>
      </c>
      <c r="D599" s="1776" t="s">
        <v>3683</v>
      </c>
      <c r="E599" s="1776" t="s">
        <v>3684</v>
      </c>
      <c r="F599" s="1776" t="s">
        <v>2276</v>
      </c>
      <c r="G599" s="1776" t="s">
        <v>22</v>
      </c>
      <c r="H599" s="1776" t="s">
        <v>22</v>
      </c>
      <c r="I599" s="1776" t="s">
        <v>852</v>
      </c>
    </row>
    <row r="600" spans="1:9" ht="11.25" customHeight="1">
      <c r="A600" s="1776" t="s">
        <v>2244</v>
      </c>
      <c r="B600" s="1776" t="s">
        <v>16</v>
      </c>
      <c r="C600" s="1776" t="s">
        <v>2277</v>
      </c>
      <c r="D600" s="1776" t="s">
        <v>2278</v>
      </c>
      <c r="E600" s="1776" t="s">
        <v>2279</v>
      </c>
      <c r="F600" s="1776" t="s">
        <v>2280</v>
      </c>
      <c r="G600" s="1776" t="s">
        <v>22</v>
      </c>
      <c r="H600" s="1776" t="s">
        <v>22</v>
      </c>
      <c r="I600" s="1776" t="s">
        <v>852</v>
      </c>
    </row>
    <row r="601" spans="1:9" ht="11.25" customHeight="1">
      <c r="A601" s="1776" t="s">
        <v>2244</v>
      </c>
      <c r="B601" s="1776" t="s">
        <v>16</v>
      </c>
      <c r="C601" s="1776" t="s">
        <v>3685</v>
      </c>
      <c r="D601" s="1776" t="s">
        <v>3686</v>
      </c>
      <c r="E601" s="1776" t="s">
        <v>3687</v>
      </c>
      <c r="F601" s="1776" t="s">
        <v>2280</v>
      </c>
      <c r="G601" s="1776" t="s">
        <v>22</v>
      </c>
      <c r="H601" s="1776" t="s">
        <v>22</v>
      </c>
      <c r="I601" s="1776" t="s">
        <v>852</v>
      </c>
    </row>
    <row r="602" spans="1:9" ht="11.25" customHeight="1">
      <c r="A602" s="1776" t="s">
        <v>2244</v>
      </c>
      <c r="B602" s="1776" t="s">
        <v>16</v>
      </c>
      <c r="C602" s="1776" t="s">
        <v>2291</v>
      </c>
      <c r="D602" s="1776" t="s">
        <v>2292</v>
      </c>
      <c r="E602" s="1776" t="s">
        <v>2293</v>
      </c>
      <c r="F602" s="1776" t="s">
        <v>2294</v>
      </c>
      <c r="G602" s="1776" t="s">
        <v>22</v>
      </c>
      <c r="H602" s="1776" t="s">
        <v>22</v>
      </c>
      <c r="I602" s="1776" t="s">
        <v>852</v>
      </c>
    </row>
    <row r="603" spans="1:9" ht="11.25" customHeight="1">
      <c r="A603" s="1776" t="s">
        <v>2244</v>
      </c>
      <c r="B603" s="1776" t="s">
        <v>16</v>
      </c>
      <c r="C603" s="1776" t="s">
        <v>3688</v>
      </c>
      <c r="D603" s="1776" t="s">
        <v>2296</v>
      </c>
      <c r="E603" s="1776" t="s">
        <v>2297</v>
      </c>
      <c r="F603" s="1776" t="s">
        <v>3689</v>
      </c>
      <c r="G603" s="1776" t="s">
        <v>3690</v>
      </c>
      <c r="H603" s="1776" t="s">
        <v>22</v>
      </c>
      <c r="I603" s="1776" t="s">
        <v>852</v>
      </c>
    </row>
    <row r="604" spans="1:9" ht="11.25" customHeight="1">
      <c r="A604" s="1776" t="s">
        <v>2244</v>
      </c>
      <c r="B604" s="1776" t="s">
        <v>16</v>
      </c>
      <c r="C604" s="1776" t="s">
        <v>3691</v>
      </c>
      <c r="D604" s="1776" t="s">
        <v>3692</v>
      </c>
      <c r="E604" s="1776" t="s">
        <v>3693</v>
      </c>
      <c r="F604" s="1776" t="s">
        <v>2309</v>
      </c>
      <c r="G604" s="1776" t="s">
        <v>22</v>
      </c>
      <c r="H604" s="1776" t="s">
        <v>22</v>
      </c>
      <c r="I604" s="1776" t="s">
        <v>852</v>
      </c>
    </row>
    <row r="605" spans="1:9" ht="11.25" customHeight="1">
      <c r="A605" s="1776" t="s">
        <v>2244</v>
      </c>
      <c r="B605" s="1776" t="s">
        <v>16</v>
      </c>
      <c r="C605" s="1776" t="s">
        <v>2303</v>
      </c>
      <c r="D605" s="1776" t="s">
        <v>2304</v>
      </c>
      <c r="E605" s="1776" t="s">
        <v>2305</v>
      </c>
      <c r="F605" s="1776" t="s">
        <v>2280</v>
      </c>
      <c r="G605" s="1776" t="s">
        <v>22</v>
      </c>
      <c r="H605" s="1776" t="s">
        <v>22</v>
      </c>
      <c r="I605" s="1776" t="s">
        <v>852</v>
      </c>
    </row>
    <row r="606" spans="1:9" ht="11.25" customHeight="1">
      <c r="A606" s="1776" t="s">
        <v>2244</v>
      </c>
      <c r="B606" s="1776" t="s">
        <v>16</v>
      </c>
      <c r="C606" s="1776" t="s">
        <v>2306</v>
      </c>
      <c r="D606" s="1776" t="s">
        <v>2307</v>
      </c>
      <c r="E606" s="1776" t="s">
        <v>2308</v>
      </c>
      <c r="F606" s="1776" t="s">
        <v>2309</v>
      </c>
      <c r="G606" s="1776" t="s">
        <v>22</v>
      </c>
      <c r="H606" s="1776" t="s">
        <v>22</v>
      </c>
      <c r="I606" s="1776" t="s">
        <v>852</v>
      </c>
    </row>
    <row r="607" spans="1:9" ht="11.25" customHeight="1">
      <c r="A607" s="1776" t="s">
        <v>2244</v>
      </c>
      <c r="B607" s="1776" t="s">
        <v>16</v>
      </c>
      <c r="C607" s="1776" t="s">
        <v>2314</v>
      </c>
      <c r="D607" s="1776" t="s">
        <v>2315</v>
      </c>
      <c r="E607" s="1776" t="s">
        <v>2316</v>
      </c>
      <c r="F607" s="1776" t="s">
        <v>2309</v>
      </c>
      <c r="G607" s="1776" t="s">
        <v>22</v>
      </c>
      <c r="H607" s="1776" t="s">
        <v>22</v>
      </c>
      <c r="I607" s="1776" t="s">
        <v>852</v>
      </c>
    </row>
    <row r="608" spans="1:9" ht="11.25" customHeight="1">
      <c r="A608" s="1776" t="s">
        <v>2244</v>
      </c>
      <c r="B608" s="1776" t="s">
        <v>16</v>
      </c>
      <c r="C608" s="1776" t="s">
        <v>2317</v>
      </c>
      <c r="D608" s="1776" t="s">
        <v>2318</v>
      </c>
      <c r="E608" s="1776" t="s">
        <v>2319</v>
      </c>
      <c r="F608" s="1776" t="s">
        <v>2276</v>
      </c>
      <c r="G608" s="1776" t="s">
        <v>22</v>
      </c>
      <c r="H608" s="1776" t="s">
        <v>22</v>
      </c>
      <c r="I608" s="1776" t="s">
        <v>852</v>
      </c>
    </row>
    <row r="609" spans="1:9" ht="11.25" customHeight="1">
      <c r="A609" s="1776" t="s">
        <v>2244</v>
      </c>
      <c r="B609" s="1776" t="s">
        <v>16</v>
      </c>
      <c r="C609" s="1776" t="s">
        <v>3694</v>
      </c>
      <c r="D609" s="1776" t="s">
        <v>3695</v>
      </c>
      <c r="E609" s="1776" t="s">
        <v>3696</v>
      </c>
      <c r="F609" s="1776" t="s">
        <v>2473</v>
      </c>
      <c r="G609" s="1776" t="s">
        <v>22</v>
      </c>
      <c r="H609" s="1776" t="s">
        <v>22</v>
      </c>
      <c r="I609" s="1776" t="s">
        <v>852</v>
      </c>
    </row>
    <row r="610" spans="1:9" ht="11.25" customHeight="1">
      <c r="A610" s="1776" t="s">
        <v>2244</v>
      </c>
      <c r="B610" s="1776" t="s">
        <v>16</v>
      </c>
      <c r="C610" s="1776" t="s">
        <v>3697</v>
      </c>
      <c r="D610" s="1776" t="s">
        <v>3698</v>
      </c>
      <c r="E610" s="1776" t="s">
        <v>3699</v>
      </c>
      <c r="F610" s="1776" t="s">
        <v>2368</v>
      </c>
      <c r="G610" s="1776" t="s">
        <v>22</v>
      </c>
      <c r="H610" s="1776" t="s">
        <v>22</v>
      </c>
      <c r="I610" s="1776" t="s">
        <v>852</v>
      </c>
    </row>
    <row r="611" spans="1:9" ht="11.25" customHeight="1">
      <c r="A611" s="1776" t="s">
        <v>2244</v>
      </c>
      <c r="B611" s="1776" t="s">
        <v>16</v>
      </c>
      <c r="C611" s="1776" t="s">
        <v>2328</v>
      </c>
      <c r="D611" s="1776" t="s">
        <v>2329</v>
      </c>
      <c r="E611" s="1776" t="s">
        <v>2330</v>
      </c>
      <c r="F611" s="1776" t="s">
        <v>2309</v>
      </c>
      <c r="G611" s="1776" t="s">
        <v>22</v>
      </c>
      <c r="H611" s="1776" t="s">
        <v>22</v>
      </c>
      <c r="I611" s="1776" t="s">
        <v>852</v>
      </c>
    </row>
    <row r="612" spans="1:9" ht="11.25" customHeight="1">
      <c r="A612" s="1776" t="s">
        <v>2244</v>
      </c>
      <c r="B612" s="1776" t="s">
        <v>16</v>
      </c>
      <c r="C612" s="1776" t="s">
        <v>2338</v>
      </c>
      <c r="D612" s="1776" t="s">
        <v>2339</v>
      </c>
      <c r="E612" s="1776" t="s">
        <v>2340</v>
      </c>
      <c r="F612" s="1776" t="s">
        <v>2276</v>
      </c>
      <c r="G612" s="1776" t="s">
        <v>22</v>
      </c>
      <c r="H612" s="1776" t="s">
        <v>22</v>
      </c>
      <c r="I612" s="1776" t="s">
        <v>852</v>
      </c>
    </row>
    <row r="613" spans="1:9" ht="11.25" customHeight="1">
      <c r="A613" s="1776" t="s">
        <v>2244</v>
      </c>
      <c r="B613" s="1776" t="s">
        <v>16</v>
      </c>
      <c r="C613" s="1776" t="s">
        <v>2341</v>
      </c>
      <c r="D613" s="1776" t="s">
        <v>2342</v>
      </c>
      <c r="E613" s="1776" t="s">
        <v>2343</v>
      </c>
      <c r="F613" s="1776" t="s">
        <v>2344</v>
      </c>
      <c r="G613" s="1776" t="s">
        <v>2345</v>
      </c>
      <c r="H613" s="1776" t="s">
        <v>22</v>
      </c>
      <c r="I613" s="1776" t="s">
        <v>852</v>
      </c>
    </row>
    <row r="614" spans="1:9" ht="11.25" customHeight="1">
      <c r="A614" s="1776" t="s">
        <v>2244</v>
      </c>
      <c r="B614" s="1776" t="s">
        <v>16</v>
      </c>
      <c r="C614" s="1776" t="s">
        <v>2356</v>
      </c>
      <c r="D614" s="1776" t="s">
        <v>2357</v>
      </c>
      <c r="E614" s="1776" t="s">
        <v>2358</v>
      </c>
      <c r="F614" s="1776" t="s">
        <v>2287</v>
      </c>
      <c r="G614" s="1776" t="s">
        <v>22</v>
      </c>
      <c r="H614" s="1776" t="s">
        <v>22</v>
      </c>
      <c r="I614" s="1776" t="s">
        <v>852</v>
      </c>
    </row>
    <row r="615" spans="1:9" ht="11.25" customHeight="1">
      <c r="A615" s="1776" t="s">
        <v>2244</v>
      </c>
      <c r="B615" s="1776" t="s">
        <v>16</v>
      </c>
      <c r="C615" s="1776" t="s">
        <v>2359</v>
      </c>
      <c r="D615" s="1776" t="s">
        <v>2360</v>
      </c>
      <c r="E615" s="1776" t="s">
        <v>2361</v>
      </c>
      <c r="F615" s="1776" t="s">
        <v>2313</v>
      </c>
      <c r="G615" s="1776" t="s">
        <v>22</v>
      </c>
      <c r="H615" s="1776" t="s">
        <v>22</v>
      </c>
      <c r="I615" s="1776" t="s">
        <v>852</v>
      </c>
    </row>
    <row r="616" spans="1:9" ht="11.25" customHeight="1">
      <c r="A616" s="1776" t="s">
        <v>2244</v>
      </c>
      <c r="B616" s="1776" t="s">
        <v>16</v>
      </c>
      <c r="C616" s="1776" t="s">
        <v>2365</v>
      </c>
      <c r="D616" s="1776" t="s">
        <v>2366</v>
      </c>
      <c r="E616" s="1776" t="s">
        <v>2367</v>
      </c>
      <c r="F616" s="1776" t="s">
        <v>2368</v>
      </c>
      <c r="G616" s="1776" t="s">
        <v>22</v>
      </c>
      <c r="H616" s="1776" t="s">
        <v>22</v>
      </c>
      <c r="I616" s="1776" t="s">
        <v>852</v>
      </c>
    </row>
    <row r="617" spans="1:9" ht="11.25" customHeight="1">
      <c r="A617" s="1776" t="s">
        <v>2244</v>
      </c>
      <c r="B617" s="1776" t="s">
        <v>16</v>
      </c>
      <c r="C617" s="1776" t="s">
        <v>3700</v>
      </c>
      <c r="D617" s="1776" t="s">
        <v>3701</v>
      </c>
      <c r="E617" s="1776" t="s">
        <v>3702</v>
      </c>
      <c r="F617" s="1776" t="s">
        <v>2257</v>
      </c>
      <c r="G617" s="1776" t="s">
        <v>22</v>
      </c>
      <c r="H617" s="1776" t="s">
        <v>22</v>
      </c>
      <c r="I617" s="1776" t="s">
        <v>852</v>
      </c>
    </row>
    <row r="618" spans="1:9" ht="11.25" customHeight="1">
      <c r="A618" s="1776" t="s">
        <v>2244</v>
      </c>
      <c r="B618" s="1776" t="s">
        <v>16</v>
      </c>
      <c r="C618" s="1776" t="s">
        <v>2387</v>
      </c>
      <c r="D618" s="1776" t="s">
        <v>2388</v>
      </c>
      <c r="E618" s="1776" t="s">
        <v>2386</v>
      </c>
      <c r="F618" s="1776" t="s">
        <v>2389</v>
      </c>
      <c r="G618" s="1776" t="s">
        <v>22</v>
      </c>
      <c r="H618" s="1776" t="s">
        <v>22</v>
      </c>
      <c r="I618" s="1776" t="s">
        <v>852</v>
      </c>
    </row>
    <row r="619" spans="1:9" ht="11.25" customHeight="1">
      <c r="A619" s="1776" t="s">
        <v>2244</v>
      </c>
      <c r="B619" s="1776" t="s">
        <v>16</v>
      </c>
      <c r="C619" s="1776" t="s">
        <v>2396</v>
      </c>
      <c r="D619" s="1776" t="s">
        <v>2397</v>
      </c>
      <c r="E619" s="1776" t="s">
        <v>2386</v>
      </c>
      <c r="F619" s="1776" t="s">
        <v>2398</v>
      </c>
      <c r="G619" s="1776" t="s">
        <v>22</v>
      </c>
      <c r="H619" s="1776" t="s">
        <v>22</v>
      </c>
      <c r="I619" s="1776" t="s">
        <v>852</v>
      </c>
    </row>
    <row r="620" spans="1:9" ht="11.25" customHeight="1">
      <c r="A620" s="1776" t="s">
        <v>2244</v>
      </c>
      <c r="B620" s="1776" t="s">
        <v>16</v>
      </c>
      <c r="C620" s="1776" t="s">
        <v>2402</v>
      </c>
      <c r="D620" s="1776" t="s">
        <v>2403</v>
      </c>
      <c r="E620" s="1776" t="s">
        <v>2386</v>
      </c>
      <c r="F620" s="1776" t="s">
        <v>2404</v>
      </c>
      <c r="G620" s="1776" t="s">
        <v>22</v>
      </c>
      <c r="H620" s="1776" t="s">
        <v>22</v>
      </c>
      <c r="I620" s="1776" t="s">
        <v>852</v>
      </c>
    </row>
    <row r="621" spans="1:9" ht="11.25" customHeight="1">
      <c r="A621" s="1776" t="s">
        <v>2244</v>
      </c>
      <c r="B621" s="1776" t="s">
        <v>16</v>
      </c>
      <c r="C621" s="1776" t="s">
        <v>3703</v>
      </c>
      <c r="D621" s="1776" t="s">
        <v>3704</v>
      </c>
      <c r="E621" s="1776" t="s">
        <v>3705</v>
      </c>
      <c r="F621" s="1776" t="s">
        <v>2294</v>
      </c>
      <c r="G621" s="1776" t="s">
        <v>22</v>
      </c>
      <c r="H621" s="1776" t="s">
        <v>22</v>
      </c>
      <c r="I621" s="1776" t="s">
        <v>852</v>
      </c>
    </row>
    <row r="622" spans="1:9" ht="11.25" customHeight="1">
      <c r="A622" s="1776" t="s">
        <v>2244</v>
      </c>
      <c r="B622" s="1776" t="s">
        <v>16</v>
      </c>
      <c r="C622" s="1776" t="s">
        <v>3706</v>
      </c>
      <c r="D622" s="1776" t="s">
        <v>3707</v>
      </c>
      <c r="E622" s="1776" t="s">
        <v>3708</v>
      </c>
      <c r="F622" s="1776" t="s">
        <v>3709</v>
      </c>
      <c r="G622" s="1776" t="s">
        <v>3710</v>
      </c>
      <c r="H622" s="1776" t="s">
        <v>22</v>
      </c>
      <c r="I622" s="1776" t="s">
        <v>852</v>
      </c>
    </row>
    <row r="623" spans="1:9" ht="11.25" customHeight="1">
      <c r="A623" s="1776" t="s">
        <v>2244</v>
      </c>
      <c r="B623" s="1776" t="s">
        <v>16</v>
      </c>
      <c r="C623" s="1776" t="s">
        <v>2433</v>
      </c>
      <c r="D623" s="1776" t="s">
        <v>2434</v>
      </c>
      <c r="E623" s="1776" t="s">
        <v>2435</v>
      </c>
      <c r="F623" s="1776" t="s">
        <v>2436</v>
      </c>
      <c r="G623" s="1776" t="s">
        <v>22</v>
      </c>
      <c r="H623" s="1776" t="s">
        <v>22</v>
      </c>
      <c r="I623" s="1776" t="s">
        <v>852</v>
      </c>
    </row>
    <row r="624" spans="1:9" ht="11.25" customHeight="1">
      <c r="A624" s="1776" t="s">
        <v>2244</v>
      </c>
      <c r="B624" s="1776" t="s">
        <v>16</v>
      </c>
      <c r="C624" s="1776" t="s">
        <v>2437</v>
      </c>
      <c r="D624" s="1776" t="s">
        <v>2438</v>
      </c>
      <c r="E624" s="1776" t="s">
        <v>2439</v>
      </c>
      <c r="F624" s="1776" t="s">
        <v>2261</v>
      </c>
      <c r="G624" s="1776" t="s">
        <v>22</v>
      </c>
      <c r="H624" s="1776" t="s">
        <v>22</v>
      </c>
      <c r="I624" s="1776" t="s">
        <v>852</v>
      </c>
    </row>
    <row r="625" spans="1:9" ht="11.25" customHeight="1">
      <c r="A625" s="1776" t="s">
        <v>2244</v>
      </c>
      <c r="B625" s="1776" t="s">
        <v>16</v>
      </c>
      <c r="C625" s="1776" t="s">
        <v>2447</v>
      </c>
      <c r="D625" s="1776" t="s">
        <v>2448</v>
      </c>
      <c r="E625" s="1776" t="s">
        <v>2449</v>
      </c>
      <c r="F625" s="1776" t="s">
        <v>2323</v>
      </c>
      <c r="G625" s="1776" t="s">
        <v>2450</v>
      </c>
      <c r="H625" s="1776" t="s">
        <v>22</v>
      </c>
      <c r="I625" s="1776" t="s">
        <v>852</v>
      </c>
    </row>
    <row r="626" spans="1:9" ht="11.25" customHeight="1">
      <c r="A626" s="1776" t="s">
        <v>2244</v>
      </c>
      <c r="B626" s="1776" t="s">
        <v>16</v>
      </c>
      <c r="C626" s="1776" t="s">
        <v>3711</v>
      </c>
      <c r="D626" s="1776" t="s">
        <v>3712</v>
      </c>
      <c r="E626" s="1776" t="s">
        <v>2563</v>
      </c>
      <c r="F626" s="1776" t="s">
        <v>2252</v>
      </c>
      <c r="G626" s="1776" t="s">
        <v>22</v>
      </c>
      <c r="H626" s="1776" t="s">
        <v>22</v>
      </c>
      <c r="I626" s="1776" t="s">
        <v>852</v>
      </c>
    </row>
    <row r="627" spans="1:9" ht="11.25" customHeight="1">
      <c r="A627" s="1776" t="s">
        <v>2244</v>
      </c>
      <c r="B627" s="1776" t="s">
        <v>16</v>
      </c>
      <c r="C627" s="1776" t="s">
        <v>3713</v>
      </c>
      <c r="D627" s="1776" t="s">
        <v>3714</v>
      </c>
      <c r="E627" s="1776" t="s">
        <v>3715</v>
      </c>
      <c r="F627" s="1776" t="s">
        <v>2280</v>
      </c>
      <c r="G627" s="1776" t="s">
        <v>22</v>
      </c>
      <c r="H627" s="1776" t="s">
        <v>22</v>
      </c>
      <c r="I627" s="1776" t="s">
        <v>852</v>
      </c>
    </row>
    <row r="628" spans="1:9" ht="11.25" customHeight="1">
      <c r="A628" s="1776" t="s">
        <v>2244</v>
      </c>
      <c r="B628" s="1776" t="s">
        <v>16</v>
      </c>
      <c r="C628" s="1776" t="s">
        <v>3716</v>
      </c>
      <c r="D628" s="1776" t="s">
        <v>3717</v>
      </c>
      <c r="E628" s="1776" t="s">
        <v>3718</v>
      </c>
      <c r="F628" s="1776" t="s">
        <v>2261</v>
      </c>
      <c r="G628" s="1776" t="s">
        <v>22</v>
      </c>
      <c r="H628" s="1776" t="s">
        <v>22</v>
      </c>
      <c r="I628" s="1776" t="s">
        <v>852</v>
      </c>
    </row>
    <row r="629" spans="1:9" ht="11.25" customHeight="1">
      <c r="A629" s="1776" t="s">
        <v>2244</v>
      </c>
      <c r="B629" s="1776" t="s">
        <v>16</v>
      </c>
      <c r="C629" s="1776" t="s">
        <v>2463</v>
      </c>
      <c r="D629" s="1776" t="s">
        <v>2464</v>
      </c>
      <c r="E629" s="1776" t="s">
        <v>2465</v>
      </c>
      <c r="F629" s="1776" t="s">
        <v>2446</v>
      </c>
      <c r="G629" s="1776" t="s">
        <v>22</v>
      </c>
      <c r="H629" s="1776" t="s">
        <v>22</v>
      </c>
      <c r="I629" s="1776" t="s">
        <v>852</v>
      </c>
    </row>
    <row r="630" spans="1:9" ht="11.25" customHeight="1">
      <c r="A630" s="1776" t="s">
        <v>2244</v>
      </c>
      <c r="B630" s="1776" t="s">
        <v>16</v>
      </c>
      <c r="C630" s="1776" t="s">
        <v>2470</v>
      </c>
      <c r="D630" s="1776" t="s">
        <v>2471</v>
      </c>
      <c r="E630" s="1776" t="s">
        <v>2472</v>
      </c>
      <c r="F630" s="1776" t="s">
        <v>2473</v>
      </c>
      <c r="G630" s="1776" t="s">
        <v>2474</v>
      </c>
      <c r="H630" s="1776" t="s">
        <v>22</v>
      </c>
      <c r="I630" s="1776" t="s">
        <v>852</v>
      </c>
    </row>
    <row r="631" spans="1:9" ht="11.25" customHeight="1">
      <c r="A631" s="1776" t="s">
        <v>2244</v>
      </c>
      <c r="B631" s="1776" t="s">
        <v>16</v>
      </c>
      <c r="C631" s="1776" t="s">
        <v>3719</v>
      </c>
      <c r="D631" s="1776" t="s">
        <v>3720</v>
      </c>
      <c r="E631" s="1776" t="s">
        <v>3721</v>
      </c>
      <c r="F631" s="1776" t="s">
        <v>3722</v>
      </c>
      <c r="G631" s="1776" t="s">
        <v>22</v>
      </c>
      <c r="H631" s="1776" t="s">
        <v>22</v>
      </c>
      <c r="I631" s="1776" t="s">
        <v>852</v>
      </c>
    </row>
    <row r="632" spans="1:9" ht="11.25" customHeight="1">
      <c r="A632" s="1776" t="s">
        <v>2244</v>
      </c>
      <c r="B632" s="1776" t="s">
        <v>16</v>
      </c>
      <c r="C632" s="1776" t="s">
        <v>3723</v>
      </c>
      <c r="D632" s="1776" t="s">
        <v>3724</v>
      </c>
      <c r="E632" s="1776" t="s">
        <v>3725</v>
      </c>
      <c r="F632" s="1776" t="s">
        <v>2507</v>
      </c>
      <c r="G632" s="1776" t="s">
        <v>22</v>
      </c>
      <c r="H632" s="1776" t="s">
        <v>22</v>
      </c>
      <c r="I632" s="1776" t="s">
        <v>852</v>
      </c>
    </row>
    <row r="633" spans="1:9" ht="11.25" customHeight="1">
      <c r="A633" s="1776" t="s">
        <v>2244</v>
      </c>
      <c r="B633" s="1776" t="s">
        <v>16</v>
      </c>
      <c r="C633" s="1776" t="s">
        <v>3726</v>
      </c>
      <c r="D633" s="1776" t="s">
        <v>3727</v>
      </c>
      <c r="E633" s="1776" t="s">
        <v>3728</v>
      </c>
      <c r="F633" s="1776" t="s">
        <v>2690</v>
      </c>
      <c r="G633" s="1776" t="s">
        <v>22</v>
      </c>
      <c r="H633" s="1776" t="s">
        <v>22</v>
      </c>
      <c r="I633" s="1776" t="s">
        <v>852</v>
      </c>
    </row>
    <row r="634" spans="1:9" ht="11.25" customHeight="1">
      <c r="A634" s="1776" t="s">
        <v>2244</v>
      </c>
      <c r="B634" s="1776" t="s">
        <v>16</v>
      </c>
      <c r="C634" s="1776" t="s">
        <v>2488</v>
      </c>
      <c r="D634" s="1776" t="s">
        <v>2489</v>
      </c>
      <c r="E634" s="1776" t="s">
        <v>2490</v>
      </c>
      <c r="F634" s="1776" t="s">
        <v>2491</v>
      </c>
      <c r="G634" s="1776" t="s">
        <v>2492</v>
      </c>
      <c r="H634" s="1776" t="s">
        <v>22</v>
      </c>
      <c r="I634" s="1776" t="s">
        <v>852</v>
      </c>
    </row>
    <row r="635" spans="1:9" ht="11.25" customHeight="1">
      <c r="A635" s="1776" t="s">
        <v>2244</v>
      </c>
      <c r="B635" s="1776" t="s">
        <v>16</v>
      </c>
      <c r="C635" s="1776" t="s">
        <v>2516</v>
      </c>
      <c r="D635" s="1776" t="s">
        <v>2517</v>
      </c>
      <c r="E635" s="1776" t="s">
        <v>2518</v>
      </c>
      <c r="F635" s="1776" t="s">
        <v>2519</v>
      </c>
      <c r="G635" s="1776" t="s">
        <v>22</v>
      </c>
      <c r="H635" s="1776" t="s">
        <v>22</v>
      </c>
      <c r="I635" s="1776" t="s">
        <v>852</v>
      </c>
    </row>
    <row r="636" spans="1:9" ht="11.25" customHeight="1">
      <c r="A636" s="1776" t="s">
        <v>2244</v>
      </c>
      <c r="B636" s="1776" t="s">
        <v>16</v>
      </c>
      <c r="C636" s="1776" t="s">
        <v>2520</v>
      </c>
      <c r="D636" s="1776" t="s">
        <v>2521</v>
      </c>
      <c r="E636" s="1776" t="s">
        <v>2522</v>
      </c>
      <c r="F636" s="1776" t="s">
        <v>2523</v>
      </c>
      <c r="G636" s="1776" t="s">
        <v>22</v>
      </c>
      <c r="H636" s="1776" t="s">
        <v>22</v>
      </c>
      <c r="I636" s="1776" t="s">
        <v>852</v>
      </c>
    </row>
    <row r="637" spans="1:9" ht="11.25" customHeight="1">
      <c r="A637" s="1776" t="s">
        <v>2244</v>
      </c>
      <c r="B637" s="1776" t="s">
        <v>16</v>
      </c>
      <c r="C637" s="1776" t="s">
        <v>2531</v>
      </c>
      <c r="D637" s="1776" t="s">
        <v>2532</v>
      </c>
      <c r="E637" s="1776" t="s">
        <v>2533</v>
      </c>
      <c r="F637" s="1776" t="s">
        <v>2534</v>
      </c>
      <c r="G637" s="1776" t="s">
        <v>22</v>
      </c>
      <c r="H637" s="1776" t="s">
        <v>22</v>
      </c>
      <c r="I637" s="1776" t="s">
        <v>852</v>
      </c>
    </row>
    <row r="638" spans="1:9" ht="11.25" customHeight="1">
      <c r="A638" s="1776" t="s">
        <v>2244</v>
      </c>
      <c r="B638" s="1776" t="s">
        <v>16</v>
      </c>
      <c r="C638" s="1776" t="s">
        <v>2538</v>
      </c>
      <c r="D638" s="1776" t="s">
        <v>2539</v>
      </c>
      <c r="E638" s="1776" t="s">
        <v>2540</v>
      </c>
      <c r="F638" s="1776" t="s">
        <v>2276</v>
      </c>
      <c r="G638" s="1776" t="s">
        <v>22</v>
      </c>
      <c r="H638" s="1776" t="s">
        <v>22</v>
      </c>
      <c r="I638" s="1776" t="s">
        <v>852</v>
      </c>
    </row>
    <row r="639" spans="1:9" ht="11.25" customHeight="1">
      <c r="A639" s="1776" t="s">
        <v>2244</v>
      </c>
      <c r="B639" s="1776" t="s">
        <v>16</v>
      </c>
      <c r="C639" s="1776" t="s">
        <v>2551</v>
      </c>
      <c r="D639" s="1776" t="s">
        <v>2552</v>
      </c>
      <c r="E639" s="1776" t="s">
        <v>2553</v>
      </c>
      <c r="F639" s="1776" t="s">
        <v>2382</v>
      </c>
      <c r="G639" s="1776" t="s">
        <v>22</v>
      </c>
      <c r="H639" s="1776" t="s">
        <v>22</v>
      </c>
      <c r="I639" s="1776" t="s">
        <v>852</v>
      </c>
    </row>
    <row r="640" spans="1:9" ht="11.25" customHeight="1">
      <c r="A640" s="1776" t="s">
        <v>2244</v>
      </c>
      <c r="B640" s="1776" t="s">
        <v>16</v>
      </c>
      <c r="C640" s="1776" t="s">
        <v>2557</v>
      </c>
      <c r="D640" s="1776" t="s">
        <v>2558</v>
      </c>
      <c r="E640" s="1776" t="s">
        <v>2559</v>
      </c>
      <c r="F640" s="1776" t="s">
        <v>2560</v>
      </c>
      <c r="G640" s="1776" t="s">
        <v>22</v>
      </c>
      <c r="H640" s="1776" t="s">
        <v>22</v>
      </c>
      <c r="I640" s="1776" t="s">
        <v>852</v>
      </c>
    </row>
    <row r="641" spans="1:9" ht="11.25" customHeight="1">
      <c r="A641" s="1776" t="s">
        <v>2244</v>
      </c>
      <c r="B641" s="1776" t="s">
        <v>16</v>
      </c>
      <c r="C641" s="1776" t="s">
        <v>2561</v>
      </c>
      <c r="D641" s="1776" t="s">
        <v>2562</v>
      </c>
      <c r="E641" s="1776" t="s">
        <v>2563</v>
      </c>
      <c r="F641" s="1776" t="s">
        <v>2564</v>
      </c>
      <c r="G641" s="1776" t="s">
        <v>22</v>
      </c>
      <c r="H641" s="1776" t="s">
        <v>22</v>
      </c>
      <c r="I641" s="1776" t="s">
        <v>852</v>
      </c>
    </row>
    <row r="642" spans="1:9" ht="11.25" customHeight="1">
      <c r="A642" s="1776" t="s">
        <v>2244</v>
      </c>
      <c r="B642" s="1776" t="s">
        <v>16</v>
      </c>
      <c r="C642" s="1776" t="s">
        <v>2568</v>
      </c>
      <c r="D642" s="1776" t="s">
        <v>2569</v>
      </c>
      <c r="E642" s="1776" t="s">
        <v>2570</v>
      </c>
      <c r="F642" s="1776" t="s">
        <v>2491</v>
      </c>
      <c r="G642" s="1776" t="s">
        <v>22</v>
      </c>
      <c r="H642" s="1776" t="s">
        <v>22</v>
      </c>
      <c r="I642" s="1776" t="s">
        <v>852</v>
      </c>
    </row>
    <row r="643" spans="1:9" ht="11.25" customHeight="1">
      <c r="A643" s="1776" t="s">
        <v>2244</v>
      </c>
      <c r="B643" s="1776" t="s">
        <v>16</v>
      </c>
      <c r="C643" s="1776" t="s">
        <v>2574</v>
      </c>
      <c r="D643" s="1776" t="s">
        <v>2575</v>
      </c>
      <c r="E643" s="1776" t="s">
        <v>2576</v>
      </c>
      <c r="F643" s="1776" t="s">
        <v>2534</v>
      </c>
      <c r="G643" s="1776" t="s">
        <v>22</v>
      </c>
      <c r="H643" s="1776" t="s">
        <v>22</v>
      </c>
      <c r="I643" s="1776" t="s">
        <v>852</v>
      </c>
    </row>
    <row r="644" spans="1:9" ht="11.25" customHeight="1">
      <c r="A644" s="1776" t="s">
        <v>2244</v>
      </c>
      <c r="B644" s="1776" t="s">
        <v>16</v>
      </c>
      <c r="C644" s="1776" t="s">
        <v>3729</v>
      </c>
      <c r="D644" s="1776" t="s">
        <v>3730</v>
      </c>
      <c r="E644" s="1776" t="s">
        <v>3731</v>
      </c>
      <c r="F644" s="1776" t="s">
        <v>2261</v>
      </c>
      <c r="G644" s="1776" t="s">
        <v>22</v>
      </c>
      <c r="H644" s="1776" t="s">
        <v>22</v>
      </c>
      <c r="I644" s="1776" t="s">
        <v>852</v>
      </c>
    </row>
    <row r="645" spans="1:9" ht="11.25" customHeight="1">
      <c r="A645" s="1776" t="s">
        <v>2244</v>
      </c>
      <c r="B645" s="1776" t="s">
        <v>16</v>
      </c>
      <c r="C645" s="1776" t="s">
        <v>2580</v>
      </c>
      <c r="D645" s="1776" t="s">
        <v>2581</v>
      </c>
      <c r="E645" s="1776" t="s">
        <v>2582</v>
      </c>
      <c r="F645" s="1776" t="s">
        <v>2382</v>
      </c>
      <c r="G645" s="1776" t="s">
        <v>22</v>
      </c>
      <c r="H645" s="1776" t="s">
        <v>22</v>
      </c>
      <c r="I645" s="1776" t="s">
        <v>852</v>
      </c>
    </row>
    <row r="646" spans="1:9" ht="11.25" customHeight="1">
      <c r="A646" s="1776" t="s">
        <v>2244</v>
      </c>
      <c r="B646" s="1776" t="s">
        <v>16</v>
      </c>
      <c r="C646" s="1776" t="s">
        <v>2604</v>
      </c>
      <c r="D646" s="1776" t="s">
        <v>2605</v>
      </c>
      <c r="E646" s="1776" t="s">
        <v>2606</v>
      </c>
      <c r="F646" s="1776" t="s">
        <v>573</v>
      </c>
      <c r="G646" s="1776" t="s">
        <v>22</v>
      </c>
      <c r="H646" s="1776" t="s">
        <v>22</v>
      </c>
      <c r="I646" s="1776" t="s">
        <v>852</v>
      </c>
    </row>
    <row r="647" spans="1:9" ht="11.25" customHeight="1">
      <c r="A647" s="1776" t="s">
        <v>2244</v>
      </c>
      <c r="B647" s="1776" t="s">
        <v>16</v>
      </c>
      <c r="C647" s="1776" t="s">
        <v>2610</v>
      </c>
      <c r="D647" s="1776" t="s">
        <v>2611</v>
      </c>
      <c r="E647" s="1776" t="s">
        <v>2612</v>
      </c>
      <c r="F647" s="1776" t="s">
        <v>2613</v>
      </c>
      <c r="G647" s="1776" t="s">
        <v>22</v>
      </c>
      <c r="H647" s="1776" t="s">
        <v>22</v>
      </c>
      <c r="I647" s="1776" t="s">
        <v>852</v>
      </c>
    </row>
    <row r="648" spans="1:9" ht="11.25" customHeight="1">
      <c r="A648" s="1776" t="s">
        <v>2244</v>
      </c>
      <c r="B648" s="1776" t="s">
        <v>16</v>
      </c>
      <c r="C648" s="1776" t="s">
        <v>3732</v>
      </c>
      <c r="D648" s="1776" t="s">
        <v>3733</v>
      </c>
      <c r="E648" s="1776" t="s">
        <v>3734</v>
      </c>
      <c r="F648" s="1776" t="s">
        <v>2690</v>
      </c>
      <c r="G648" s="1776" t="s">
        <v>22</v>
      </c>
      <c r="H648" s="1776" t="s">
        <v>22</v>
      </c>
      <c r="I648" s="1776" t="s">
        <v>852</v>
      </c>
    </row>
    <row r="649" spans="1:9" ht="11.25" customHeight="1">
      <c r="A649" s="1776" t="s">
        <v>2244</v>
      </c>
      <c r="B649" s="1776" t="s">
        <v>16</v>
      </c>
      <c r="C649" s="1776" t="s">
        <v>2628</v>
      </c>
      <c r="D649" s="1776" t="s">
        <v>2629</v>
      </c>
      <c r="E649" s="1776" t="s">
        <v>2630</v>
      </c>
      <c r="F649" s="1776" t="s">
        <v>2631</v>
      </c>
      <c r="G649" s="1776" t="s">
        <v>2632</v>
      </c>
      <c r="H649" s="1776" t="s">
        <v>22</v>
      </c>
      <c r="I649" s="1776" t="s">
        <v>852</v>
      </c>
    </row>
    <row r="650" spans="1:9" ht="11.25" customHeight="1">
      <c r="A650" s="1776" t="s">
        <v>2244</v>
      </c>
      <c r="B650" s="1776" t="s">
        <v>16</v>
      </c>
      <c r="C650" s="1776" t="s">
        <v>3735</v>
      </c>
      <c r="D650" s="1776" t="s">
        <v>3736</v>
      </c>
      <c r="E650" s="1776" t="s">
        <v>3737</v>
      </c>
      <c r="F650" s="1776" t="s">
        <v>3108</v>
      </c>
      <c r="G650" s="1776" t="s">
        <v>22</v>
      </c>
      <c r="H650" s="1776" t="s">
        <v>22</v>
      </c>
      <c r="I650" s="1776" t="s">
        <v>852</v>
      </c>
    </row>
    <row r="651" spans="1:9" ht="11.25" customHeight="1">
      <c r="A651" s="1776" t="s">
        <v>2244</v>
      </c>
      <c r="B651" s="1776" t="s">
        <v>16</v>
      </c>
      <c r="C651" s="1776" t="s">
        <v>3738</v>
      </c>
      <c r="D651" s="1776" t="s">
        <v>3739</v>
      </c>
      <c r="E651" s="1776" t="s">
        <v>3740</v>
      </c>
      <c r="F651" s="1776" t="s">
        <v>3108</v>
      </c>
      <c r="G651" s="1776" t="s">
        <v>22</v>
      </c>
      <c r="H651" s="1776" t="s">
        <v>22</v>
      </c>
      <c r="I651" s="1776" t="s">
        <v>852</v>
      </c>
    </row>
    <row r="652" spans="1:9" ht="11.25" customHeight="1">
      <c r="A652" s="1776" t="s">
        <v>2244</v>
      </c>
      <c r="B652" s="1776" t="s">
        <v>16</v>
      </c>
      <c r="C652" s="1776" t="s">
        <v>3741</v>
      </c>
      <c r="D652" s="1776" t="s">
        <v>3742</v>
      </c>
      <c r="E652" s="1776" t="s">
        <v>3743</v>
      </c>
      <c r="F652" s="1776" t="s">
        <v>3108</v>
      </c>
      <c r="G652" s="1776" t="s">
        <v>22</v>
      </c>
      <c r="H652" s="1776" t="s">
        <v>22</v>
      </c>
      <c r="I652" s="1776" t="s">
        <v>852</v>
      </c>
    </row>
    <row r="653" spans="1:9" ht="11.25" customHeight="1">
      <c r="A653" s="1776" t="s">
        <v>2244</v>
      </c>
      <c r="B653" s="1776" t="s">
        <v>16</v>
      </c>
      <c r="C653" s="1776" t="s">
        <v>3744</v>
      </c>
      <c r="D653" s="1776" t="s">
        <v>3745</v>
      </c>
      <c r="E653" s="1776" t="s">
        <v>3746</v>
      </c>
      <c r="F653" s="1776" t="s">
        <v>3108</v>
      </c>
      <c r="G653" s="1776" t="s">
        <v>22</v>
      </c>
      <c r="H653" s="1776" t="s">
        <v>22</v>
      </c>
      <c r="I653" s="1776" t="s">
        <v>852</v>
      </c>
    </row>
    <row r="654" spans="1:9" ht="11.25" customHeight="1">
      <c r="A654" s="1776" t="s">
        <v>2244</v>
      </c>
      <c r="B654" s="1776" t="s">
        <v>16</v>
      </c>
      <c r="C654" s="1776" t="s">
        <v>3747</v>
      </c>
      <c r="D654" s="1776" t="s">
        <v>3748</v>
      </c>
      <c r="E654" s="1776" t="s">
        <v>3749</v>
      </c>
      <c r="F654" s="1776" t="s">
        <v>3108</v>
      </c>
      <c r="G654" s="1776" t="s">
        <v>22</v>
      </c>
      <c r="H654" s="1776" t="s">
        <v>22</v>
      </c>
      <c r="I654" s="1776" t="s">
        <v>852</v>
      </c>
    </row>
    <row r="655" spans="1:9" ht="11.25" customHeight="1">
      <c r="A655" s="1776" t="s">
        <v>2244</v>
      </c>
      <c r="B655" s="1776" t="s">
        <v>16</v>
      </c>
      <c r="C655" s="1776" t="s">
        <v>2643</v>
      </c>
      <c r="D655" s="1776" t="s">
        <v>2644</v>
      </c>
      <c r="E655" s="1776" t="s">
        <v>2645</v>
      </c>
      <c r="F655" s="1776" t="s">
        <v>2646</v>
      </c>
      <c r="G655" s="1776" t="s">
        <v>22</v>
      </c>
      <c r="H655" s="1776" t="s">
        <v>22</v>
      </c>
      <c r="I655" s="1776" t="s">
        <v>852</v>
      </c>
    </row>
    <row r="656" spans="1:9" ht="11.25" customHeight="1">
      <c r="A656" s="1776" t="s">
        <v>2244</v>
      </c>
      <c r="B656" s="1776" t="s">
        <v>16</v>
      </c>
      <c r="C656" s="1776" t="s">
        <v>3750</v>
      </c>
      <c r="D656" s="1776" t="s">
        <v>3751</v>
      </c>
      <c r="E656" s="1776" t="s">
        <v>3752</v>
      </c>
      <c r="F656" s="1776" t="s">
        <v>3008</v>
      </c>
      <c r="G656" s="1776" t="s">
        <v>3753</v>
      </c>
      <c r="H656" s="1776" t="s">
        <v>22</v>
      </c>
      <c r="I656" s="1776" t="s">
        <v>852</v>
      </c>
    </row>
    <row r="657" spans="1:9" ht="11.25" customHeight="1">
      <c r="A657" s="1776" t="s">
        <v>2244</v>
      </c>
      <c r="B657" s="1776" t="s">
        <v>16</v>
      </c>
      <c r="C657" s="1776" t="s">
        <v>3754</v>
      </c>
      <c r="D657" s="1776" t="s">
        <v>3751</v>
      </c>
      <c r="E657" s="1776" t="s">
        <v>3755</v>
      </c>
      <c r="F657" s="1776" t="s">
        <v>2672</v>
      </c>
      <c r="G657" s="1776" t="s">
        <v>22</v>
      </c>
      <c r="H657" s="1776" t="s">
        <v>22</v>
      </c>
      <c r="I657" s="1776" t="s">
        <v>852</v>
      </c>
    </row>
    <row r="658" spans="1:9" ht="11.25" customHeight="1">
      <c r="A658" s="1776" t="s">
        <v>2244</v>
      </c>
      <c r="B658" s="1776" t="s">
        <v>16</v>
      </c>
      <c r="C658" s="1776" t="s">
        <v>2647</v>
      </c>
      <c r="D658" s="1776" t="s">
        <v>2648</v>
      </c>
      <c r="E658" s="1776" t="s">
        <v>2649</v>
      </c>
      <c r="F658" s="1776" t="s">
        <v>2446</v>
      </c>
      <c r="G658" s="1776" t="s">
        <v>22</v>
      </c>
      <c r="H658" s="1776" t="s">
        <v>22</v>
      </c>
      <c r="I658" s="1776" t="s">
        <v>852</v>
      </c>
    </row>
    <row r="659" spans="1:9" ht="11.25" customHeight="1">
      <c r="A659" s="1776" t="s">
        <v>2244</v>
      </c>
      <c r="B659" s="1776" t="s">
        <v>16</v>
      </c>
      <c r="C659" s="1776" t="s">
        <v>3756</v>
      </c>
      <c r="D659" s="1776" t="s">
        <v>3757</v>
      </c>
      <c r="E659" s="1776" t="s">
        <v>3758</v>
      </c>
      <c r="F659" s="1776" t="s">
        <v>2659</v>
      </c>
      <c r="G659" s="1776" t="s">
        <v>22</v>
      </c>
      <c r="H659" s="1776" t="s">
        <v>22</v>
      </c>
      <c r="I659" s="1776" t="s">
        <v>852</v>
      </c>
    </row>
    <row r="660" spans="1:9" ht="11.25" customHeight="1">
      <c r="A660" s="1776" t="s">
        <v>2244</v>
      </c>
      <c r="B660" s="1776" t="s">
        <v>16</v>
      </c>
      <c r="C660" s="1776" t="s">
        <v>2650</v>
      </c>
      <c r="D660" s="1776" t="s">
        <v>2651</v>
      </c>
      <c r="E660" s="1776" t="s">
        <v>2652</v>
      </c>
      <c r="F660" s="1776" t="s">
        <v>2372</v>
      </c>
      <c r="G660" s="1776" t="s">
        <v>22</v>
      </c>
      <c r="H660" s="1776" t="s">
        <v>22</v>
      </c>
      <c r="I660" s="1776" t="s">
        <v>852</v>
      </c>
    </row>
    <row r="661" spans="1:9" ht="11.25" customHeight="1">
      <c r="A661" s="1776" t="s">
        <v>2244</v>
      </c>
      <c r="B661" s="1776" t="s">
        <v>16</v>
      </c>
      <c r="C661" s="1776" t="s">
        <v>2653</v>
      </c>
      <c r="D661" s="1776" t="s">
        <v>2654</v>
      </c>
      <c r="E661" s="1776" t="s">
        <v>2655</v>
      </c>
      <c r="F661" s="1776" t="s">
        <v>2446</v>
      </c>
      <c r="G661" s="1776" t="s">
        <v>22</v>
      </c>
      <c r="H661" s="1776" t="s">
        <v>22</v>
      </c>
      <c r="I661" s="1776" t="s">
        <v>852</v>
      </c>
    </row>
    <row r="662" spans="1:9" ht="11.25" customHeight="1">
      <c r="A662" s="1776" t="s">
        <v>2244</v>
      </c>
      <c r="B662" s="1776" t="s">
        <v>16</v>
      </c>
      <c r="C662" s="1776" t="s">
        <v>2656</v>
      </c>
      <c r="D662" s="1776" t="s">
        <v>2657</v>
      </c>
      <c r="E662" s="1776" t="s">
        <v>2658</v>
      </c>
      <c r="F662" s="1776" t="s">
        <v>2659</v>
      </c>
      <c r="G662" s="1776" t="s">
        <v>22</v>
      </c>
      <c r="H662" s="1776" t="s">
        <v>22</v>
      </c>
      <c r="I662" s="1776" t="s">
        <v>852</v>
      </c>
    </row>
    <row r="663" spans="1:9" ht="11.25" customHeight="1">
      <c r="A663" s="1776" t="s">
        <v>2244</v>
      </c>
      <c r="B663" s="1776" t="s">
        <v>16</v>
      </c>
      <c r="C663" s="1776" t="s">
        <v>2660</v>
      </c>
      <c r="D663" s="1776" t="s">
        <v>2661</v>
      </c>
      <c r="E663" s="1776" t="s">
        <v>2662</v>
      </c>
      <c r="F663" s="1776" t="s">
        <v>2276</v>
      </c>
      <c r="G663" s="1776" t="s">
        <v>22</v>
      </c>
      <c r="H663" s="1776" t="s">
        <v>22</v>
      </c>
      <c r="I663" s="1776" t="s">
        <v>852</v>
      </c>
    </row>
    <row r="664" spans="1:9" ht="11.25" customHeight="1">
      <c r="A664" s="1776" t="s">
        <v>2244</v>
      </c>
      <c r="B664" s="1776" t="s">
        <v>16</v>
      </c>
      <c r="C664" s="1776" t="s">
        <v>2663</v>
      </c>
      <c r="D664" s="1776" t="s">
        <v>2664</v>
      </c>
      <c r="E664" s="1776" t="s">
        <v>2665</v>
      </c>
      <c r="F664" s="1776" t="s">
        <v>2457</v>
      </c>
      <c r="G664" s="1776" t="s">
        <v>22</v>
      </c>
      <c r="H664" s="1776" t="s">
        <v>22</v>
      </c>
      <c r="I664" s="1776" t="s">
        <v>852</v>
      </c>
    </row>
    <row r="665" spans="1:9" ht="11.25" customHeight="1">
      <c r="A665" s="1776" t="s">
        <v>2244</v>
      </c>
      <c r="B665" s="1776" t="s">
        <v>16</v>
      </c>
      <c r="C665" s="1776" t="s">
        <v>2666</v>
      </c>
      <c r="D665" s="1776" t="s">
        <v>2667</v>
      </c>
      <c r="E665" s="1776" t="s">
        <v>2668</v>
      </c>
      <c r="F665" s="1776" t="s">
        <v>2659</v>
      </c>
      <c r="G665" s="1776" t="s">
        <v>22</v>
      </c>
      <c r="H665" s="1776" t="s">
        <v>22</v>
      </c>
      <c r="I665" s="1776" t="s">
        <v>852</v>
      </c>
    </row>
    <row r="666" spans="1:9" ht="11.25" customHeight="1">
      <c r="A666" s="1776" t="s">
        <v>2244</v>
      </c>
      <c r="B666" s="1776" t="s">
        <v>16</v>
      </c>
      <c r="C666" s="1776" t="s">
        <v>2676</v>
      </c>
      <c r="D666" s="1776" t="s">
        <v>2677</v>
      </c>
      <c r="E666" s="1776" t="s">
        <v>2678</v>
      </c>
      <c r="F666" s="1776" t="s">
        <v>2679</v>
      </c>
      <c r="G666" s="1776" t="s">
        <v>2680</v>
      </c>
      <c r="H666" s="1776" t="s">
        <v>22</v>
      </c>
      <c r="I666" s="1776" t="s">
        <v>852</v>
      </c>
    </row>
    <row r="667" spans="1:9" ht="11.25" customHeight="1">
      <c r="A667" s="1776" t="s">
        <v>2244</v>
      </c>
      <c r="B667" s="1776" t="s">
        <v>16</v>
      </c>
      <c r="C667" s="1776" t="s">
        <v>3759</v>
      </c>
      <c r="D667" s="1776" t="s">
        <v>3760</v>
      </c>
      <c r="E667" s="1776" t="s">
        <v>3761</v>
      </c>
      <c r="F667" s="1776" t="s">
        <v>3762</v>
      </c>
      <c r="G667" s="1776" t="s">
        <v>3763</v>
      </c>
      <c r="H667" s="1776" t="s">
        <v>22</v>
      </c>
      <c r="I667" s="1776" t="s">
        <v>852</v>
      </c>
    </row>
    <row r="668" spans="1:9" ht="11.25" customHeight="1">
      <c r="A668" s="1776" t="s">
        <v>2244</v>
      </c>
      <c r="B668" s="1776" t="s">
        <v>16</v>
      </c>
      <c r="C668" s="1776" t="s">
        <v>3764</v>
      </c>
      <c r="D668" s="1776" t="s">
        <v>3765</v>
      </c>
      <c r="E668" s="1776" t="s">
        <v>3766</v>
      </c>
      <c r="F668" s="1776" t="s">
        <v>2491</v>
      </c>
      <c r="G668" s="1776" t="s">
        <v>22</v>
      </c>
      <c r="H668" s="1776" t="s">
        <v>22</v>
      </c>
      <c r="I668" s="1776" t="s">
        <v>852</v>
      </c>
    </row>
    <row r="669" spans="1:9" ht="11.25" customHeight="1">
      <c r="A669" s="1776" t="s">
        <v>2244</v>
      </c>
      <c r="B669" s="1776" t="s">
        <v>16</v>
      </c>
      <c r="C669" s="1776" t="s">
        <v>3767</v>
      </c>
      <c r="D669" s="1776" t="s">
        <v>3768</v>
      </c>
      <c r="E669" s="1776" t="s">
        <v>3769</v>
      </c>
      <c r="F669" s="1776" t="s">
        <v>2523</v>
      </c>
      <c r="G669" s="1776" t="s">
        <v>22</v>
      </c>
      <c r="H669" s="1776" t="s">
        <v>22</v>
      </c>
      <c r="I669" s="1776" t="s">
        <v>852</v>
      </c>
    </row>
    <row r="670" spans="1:9" ht="11.25" customHeight="1">
      <c r="A670" s="1776" t="s">
        <v>2244</v>
      </c>
      <c r="B670" s="1776" t="s">
        <v>16</v>
      </c>
      <c r="C670" s="1776" t="s">
        <v>3770</v>
      </c>
      <c r="D670" s="1776" t="s">
        <v>3771</v>
      </c>
      <c r="E670" s="1776" t="s">
        <v>3772</v>
      </c>
      <c r="F670" s="1776" t="s">
        <v>3008</v>
      </c>
      <c r="G670" s="1776" t="s">
        <v>22</v>
      </c>
      <c r="H670" s="1776" t="s">
        <v>22</v>
      </c>
      <c r="I670" s="1776" t="s">
        <v>852</v>
      </c>
    </row>
    <row r="671" spans="1:9" ht="11.25" customHeight="1">
      <c r="A671" s="1776" t="s">
        <v>2244</v>
      </c>
      <c r="B671" s="1776" t="s">
        <v>16</v>
      </c>
      <c r="C671" s="1776" t="s">
        <v>2691</v>
      </c>
      <c r="D671" s="1776" t="s">
        <v>2692</v>
      </c>
      <c r="E671" s="1776" t="s">
        <v>2693</v>
      </c>
      <c r="F671" s="1776" t="s">
        <v>2294</v>
      </c>
      <c r="G671" s="1776" t="s">
        <v>22</v>
      </c>
      <c r="H671" s="1776" t="s">
        <v>22</v>
      </c>
      <c r="I671" s="1776" t="s">
        <v>852</v>
      </c>
    </row>
    <row r="672" spans="1:9" ht="11.25" customHeight="1">
      <c r="A672" s="1776" t="s">
        <v>2244</v>
      </c>
      <c r="B672" s="1776" t="s">
        <v>16</v>
      </c>
      <c r="C672" s="1776" t="s">
        <v>2694</v>
      </c>
      <c r="D672" s="1776" t="s">
        <v>2695</v>
      </c>
      <c r="E672" s="1776" t="s">
        <v>2696</v>
      </c>
      <c r="F672" s="1776" t="s">
        <v>2697</v>
      </c>
      <c r="G672" s="1776" t="s">
        <v>22</v>
      </c>
      <c r="H672" s="1776" t="s">
        <v>22</v>
      </c>
      <c r="I672" s="1776" t="s">
        <v>852</v>
      </c>
    </row>
    <row r="673" spans="1:9" ht="11.25" customHeight="1">
      <c r="A673" s="1776" t="s">
        <v>2244</v>
      </c>
      <c r="B673" s="1776" t="s">
        <v>16</v>
      </c>
      <c r="C673" s="1776" t="s">
        <v>2698</v>
      </c>
      <c r="D673" s="1776" t="s">
        <v>2699</v>
      </c>
      <c r="E673" s="1776" t="s">
        <v>2700</v>
      </c>
      <c r="F673" s="1776" t="s">
        <v>2701</v>
      </c>
      <c r="G673" s="1776" t="s">
        <v>22</v>
      </c>
      <c r="H673" s="1776" t="s">
        <v>22</v>
      </c>
      <c r="I673" s="1776" t="s">
        <v>852</v>
      </c>
    </row>
    <row r="674" spans="1:9" ht="11.25" customHeight="1">
      <c r="A674" s="1776" t="s">
        <v>2244</v>
      </c>
      <c r="B674" s="1776" t="s">
        <v>16</v>
      </c>
      <c r="C674" s="1776" t="s">
        <v>3773</v>
      </c>
      <c r="D674" s="1776" t="s">
        <v>3774</v>
      </c>
      <c r="E674" s="1776" t="s">
        <v>3775</v>
      </c>
      <c r="F674" s="1776" t="s">
        <v>2302</v>
      </c>
      <c r="G674" s="1776" t="s">
        <v>22</v>
      </c>
      <c r="H674" s="1776" t="s">
        <v>22</v>
      </c>
      <c r="I674" s="1776" t="s">
        <v>852</v>
      </c>
    </row>
    <row r="675" spans="1:9" ht="11.25" customHeight="1">
      <c r="A675" s="1776" t="s">
        <v>2244</v>
      </c>
      <c r="B675" s="1776" t="s">
        <v>16</v>
      </c>
      <c r="C675" s="1776" t="s">
        <v>3776</v>
      </c>
      <c r="D675" s="1776" t="s">
        <v>3777</v>
      </c>
      <c r="E675" s="1776" t="s">
        <v>3778</v>
      </c>
      <c r="F675" s="1776" t="s">
        <v>3298</v>
      </c>
      <c r="G675" s="1776" t="s">
        <v>22</v>
      </c>
      <c r="H675" s="1776" t="s">
        <v>22</v>
      </c>
      <c r="I675" s="1776" t="s">
        <v>852</v>
      </c>
    </row>
    <row r="676" spans="1:9" ht="11.25" customHeight="1">
      <c r="A676" s="1776" t="s">
        <v>2244</v>
      </c>
      <c r="B676" s="1776" t="s">
        <v>16</v>
      </c>
      <c r="C676" s="1776" t="s">
        <v>3779</v>
      </c>
      <c r="D676" s="1776" t="s">
        <v>3780</v>
      </c>
      <c r="E676" s="1776" t="s">
        <v>3781</v>
      </c>
      <c r="F676" s="1776" t="s">
        <v>2519</v>
      </c>
      <c r="G676" s="1776" t="s">
        <v>3782</v>
      </c>
      <c r="H676" s="1776" t="s">
        <v>22</v>
      </c>
      <c r="I676" s="1776" t="s">
        <v>852</v>
      </c>
    </row>
    <row r="677" spans="1:9" ht="11.25" customHeight="1">
      <c r="A677" s="1776" t="s">
        <v>2244</v>
      </c>
      <c r="B677" s="1776" t="s">
        <v>16</v>
      </c>
      <c r="C677" s="1776" t="s">
        <v>2702</v>
      </c>
      <c r="D677" s="1776" t="s">
        <v>2703</v>
      </c>
      <c r="E677" s="1776" t="s">
        <v>2704</v>
      </c>
      <c r="F677" s="1776" t="s">
        <v>2705</v>
      </c>
      <c r="G677" s="1776" t="s">
        <v>22</v>
      </c>
      <c r="H677" s="1776" t="s">
        <v>22</v>
      </c>
      <c r="I677" s="1776" t="s">
        <v>852</v>
      </c>
    </row>
    <row r="678" spans="1:9" ht="11.25" customHeight="1">
      <c r="A678" s="1776" t="s">
        <v>2244</v>
      </c>
      <c r="B678" s="1776" t="s">
        <v>16</v>
      </c>
      <c r="C678" s="1776" t="s">
        <v>3783</v>
      </c>
      <c r="D678" s="1776" t="s">
        <v>3784</v>
      </c>
      <c r="E678" s="1776" t="s">
        <v>3785</v>
      </c>
      <c r="F678" s="1776" t="s">
        <v>2808</v>
      </c>
      <c r="G678" s="1776" t="s">
        <v>22</v>
      </c>
      <c r="H678" s="1776" t="s">
        <v>22</v>
      </c>
      <c r="I678" s="1776" t="s">
        <v>852</v>
      </c>
    </row>
    <row r="679" spans="1:9" ht="11.25" customHeight="1">
      <c r="A679" s="1776" t="s">
        <v>2244</v>
      </c>
      <c r="B679" s="1776" t="s">
        <v>16</v>
      </c>
      <c r="C679" s="1776" t="s">
        <v>2706</v>
      </c>
      <c r="D679" s="1776" t="s">
        <v>2707</v>
      </c>
      <c r="E679" s="1776" t="s">
        <v>2708</v>
      </c>
      <c r="F679" s="1776" t="s">
        <v>2519</v>
      </c>
      <c r="G679" s="1776" t="s">
        <v>22</v>
      </c>
      <c r="H679" s="1776" t="s">
        <v>22</v>
      </c>
      <c r="I679" s="1776" t="s">
        <v>852</v>
      </c>
    </row>
    <row r="680" spans="1:9" ht="11.25" customHeight="1">
      <c r="A680" s="1776" t="s">
        <v>2244</v>
      </c>
      <c r="B680" s="1776" t="s">
        <v>16</v>
      </c>
      <c r="C680" s="1776" t="s">
        <v>3786</v>
      </c>
      <c r="D680" s="1776" t="s">
        <v>3787</v>
      </c>
      <c r="E680" s="1776" t="s">
        <v>3788</v>
      </c>
      <c r="F680" s="1776" t="s">
        <v>2534</v>
      </c>
      <c r="G680" s="1776" t="s">
        <v>22</v>
      </c>
      <c r="H680" s="1776" t="s">
        <v>22</v>
      </c>
      <c r="I680" s="1776" t="s">
        <v>852</v>
      </c>
    </row>
    <row r="681" spans="1:9" ht="11.25" customHeight="1">
      <c r="A681" s="1776" t="s">
        <v>2244</v>
      </c>
      <c r="B681" s="1776" t="s">
        <v>16</v>
      </c>
      <c r="C681" s="1776" t="s">
        <v>2709</v>
      </c>
      <c r="D681" s="1776" t="s">
        <v>2710</v>
      </c>
      <c r="E681" s="1776" t="s">
        <v>2711</v>
      </c>
      <c r="F681" s="1776" t="s">
        <v>2313</v>
      </c>
      <c r="G681" s="1776" t="s">
        <v>22</v>
      </c>
      <c r="H681" s="1776" t="s">
        <v>22</v>
      </c>
      <c r="I681" s="1776" t="s">
        <v>852</v>
      </c>
    </row>
    <row r="682" spans="1:9" ht="11.25" customHeight="1">
      <c r="A682" s="1776" t="s">
        <v>2244</v>
      </c>
      <c r="B682" s="1776" t="s">
        <v>16</v>
      </c>
      <c r="C682" s="1776" t="s">
        <v>3789</v>
      </c>
      <c r="D682" s="1776" t="s">
        <v>2710</v>
      </c>
      <c r="E682" s="1776" t="s">
        <v>3790</v>
      </c>
      <c r="F682" s="1776" t="s">
        <v>2962</v>
      </c>
      <c r="G682" s="1776" t="s">
        <v>22</v>
      </c>
      <c r="H682" s="1776" t="s">
        <v>22</v>
      </c>
      <c r="I682" s="1776" t="s">
        <v>852</v>
      </c>
    </row>
    <row r="683" spans="1:9" ht="11.25" customHeight="1">
      <c r="A683" s="1776" t="s">
        <v>2244</v>
      </c>
      <c r="B683" s="1776" t="s">
        <v>16</v>
      </c>
      <c r="C683" s="1776" t="s">
        <v>3791</v>
      </c>
      <c r="D683" s="1776" t="s">
        <v>3792</v>
      </c>
      <c r="E683" s="1776" t="s">
        <v>3793</v>
      </c>
      <c r="F683" s="1776" t="s">
        <v>2523</v>
      </c>
      <c r="G683" s="1776" t="s">
        <v>22</v>
      </c>
      <c r="H683" s="1776" t="s">
        <v>22</v>
      </c>
      <c r="I683" s="1776" t="s">
        <v>852</v>
      </c>
    </row>
    <row r="684" spans="1:9" ht="11.25" customHeight="1">
      <c r="A684" s="1776" t="s">
        <v>2244</v>
      </c>
      <c r="B684" s="1776" t="s">
        <v>16</v>
      </c>
      <c r="C684" s="1776" t="s">
        <v>2712</v>
      </c>
      <c r="D684" s="1776" t="s">
        <v>2713</v>
      </c>
      <c r="E684" s="1776" t="s">
        <v>2714</v>
      </c>
      <c r="F684" s="1776" t="s">
        <v>2523</v>
      </c>
      <c r="G684" s="1776" t="s">
        <v>22</v>
      </c>
      <c r="H684" s="1776" t="s">
        <v>22</v>
      </c>
      <c r="I684" s="1776" t="s">
        <v>852</v>
      </c>
    </row>
    <row r="685" spans="1:9" ht="11.25" customHeight="1">
      <c r="A685" s="1776" t="s">
        <v>2244</v>
      </c>
      <c r="B685" s="1776" t="s">
        <v>16</v>
      </c>
      <c r="C685" s="1776" t="s">
        <v>3794</v>
      </c>
      <c r="D685" s="1776" t="s">
        <v>3795</v>
      </c>
      <c r="E685" s="1776" t="s">
        <v>3796</v>
      </c>
      <c r="F685" s="1776" t="s">
        <v>2294</v>
      </c>
      <c r="G685" s="1776" t="s">
        <v>3797</v>
      </c>
      <c r="H685" s="1776" t="s">
        <v>22</v>
      </c>
      <c r="I685" s="1776" t="s">
        <v>852</v>
      </c>
    </row>
    <row r="686" spans="1:9" ht="11.25" customHeight="1">
      <c r="A686" s="1776" t="s">
        <v>2244</v>
      </c>
      <c r="B686" s="1776" t="s">
        <v>16</v>
      </c>
      <c r="C686" s="1776" t="s">
        <v>3798</v>
      </c>
      <c r="D686" s="1776" t="s">
        <v>3799</v>
      </c>
      <c r="E686" s="1776" t="s">
        <v>3800</v>
      </c>
      <c r="F686" s="1776" t="s">
        <v>2436</v>
      </c>
      <c r="G686" s="1776" t="s">
        <v>22</v>
      </c>
      <c r="H686" s="1776" t="s">
        <v>22</v>
      </c>
      <c r="I686" s="1776" t="s">
        <v>852</v>
      </c>
    </row>
    <row r="687" spans="1:9" ht="11.25" customHeight="1">
      <c r="A687" s="1776" t="s">
        <v>2244</v>
      </c>
      <c r="B687" s="1776" t="s">
        <v>16</v>
      </c>
      <c r="C687" s="1776" t="s">
        <v>3801</v>
      </c>
      <c r="D687" s="1776" t="s">
        <v>3802</v>
      </c>
      <c r="E687" s="1776" t="s">
        <v>3803</v>
      </c>
      <c r="F687" s="1776" t="s">
        <v>2962</v>
      </c>
      <c r="G687" s="1776" t="s">
        <v>22</v>
      </c>
      <c r="H687" s="1776" t="s">
        <v>22</v>
      </c>
      <c r="I687" s="1776" t="s">
        <v>852</v>
      </c>
    </row>
    <row r="688" spans="1:9" ht="11.25" customHeight="1">
      <c r="A688" s="1776" t="s">
        <v>2244</v>
      </c>
      <c r="B688" s="1776" t="s">
        <v>16</v>
      </c>
      <c r="C688" s="1776" t="s">
        <v>3804</v>
      </c>
      <c r="D688" s="1776" t="s">
        <v>3805</v>
      </c>
      <c r="E688" s="1776" t="s">
        <v>3806</v>
      </c>
      <c r="F688" s="1776" t="s">
        <v>2771</v>
      </c>
      <c r="G688" s="1776" t="s">
        <v>22</v>
      </c>
      <c r="H688" s="1776" t="s">
        <v>22</v>
      </c>
      <c r="I688" s="1776" t="s">
        <v>852</v>
      </c>
    </row>
    <row r="689" spans="1:9" ht="11.25" customHeight="1">
      <c r="A689" s="1776" t="s">
        <v>2244</v>
      </c>
      <c r="B689" s="1776" t="s">
        <v>16</v>
      </c>
      <c r="C689" s="1776" t="s">
        <v>2718</v>
      </c>
      <c r="D689" s="1776" t="s">
        <v>2719</v>
      </c>
      <c r="E689" s="1776" t="s">
        <v>2720</v>
      </c>
      <c r="F689" s="1776" t="s">
        <v>2697</v>
      </c>
      <c r="G689" s="1776" t="s">
        <v>22</v>
      </c>
      <c r="H689" s="1776" t="s">
        <v>22</v>
      </c>
      <c r="I689" s="1776" t="s">
        <v>852</v>
      </c>
    </row>
    <row r="690" spans="1:9" ht="11.25" customHeight="1">
      <c r="A690" s="1776" t="s">
        <v>2244</v>
      </c>
      <c r="B690" s="1776" t="s">
        <v>16</v>
      </c>
      <c r="C690" s="1776" t="s">
        <v>2721</v>
      </c>
      <c r="D690" s="1776" t="s">
        <v>2722</v>
      </c>
      <c r="E690" s="1776" t="s">
        <v>2723</v>
      </c>
      <c r="F690" s="1776" t="s">
        <v>2527</v>
      </c>
      <c r="G690" s="1776" t="s">
        <v>22</v>
      </c>
      <c r="H690" s="1776" t="s">
        <v>22</v>
      </c>
      <c r="I690" s="1776" t="s">
        <v>852</v>
      </c>
    </row>
    <row r="691" spans="1:9" ht="11.25" customHeight="1">
      <c r="A691" s="1776" t="s">
        <v>2244</v>
      </c>
      <c r="B691" s="1776" t="s">
        <v>16</v>
      </c>
      <c r="C691" s="1776" t="s">
        <v>2724</v>
      </c>
      <c r="D691" s="1776" t="s">
        <v>2725</v>
      </c>
      <c r="E691" s="1776" t="s">
        <v>2726</v>
      </c>
      <c r="F691" s="1776" t="s">
        <v>2679</v>
      </c>
      <c r="G691" s="1776" t="s">
        <v>22</v>
      </c>
      <c r="H691" s="1776" t="s">
        <v>22</v>
      </c>
      <c r="I691" s="1776" t="s">
        <v>852</v>
      </c>
    </row>
    <row r="692" spans="1:9" ht="11.25" customHeight="1">
      <c r="A692" s="1776" t="s">
        <v>2244</v>
      </c>
      <c r="B692" s="1776" t="s">
        <v>16</v>
      </c>
      <c r="C692" s="1776" t="s">
        <v>2727</v>
      </c>
      <c r="D692" s="1776" t="s">
        <v>2728</v>
      </c>
      <c r="E692" s="1776" t="s">
        <v>2729</v>
      </c>
      <c r="F692" s="1776" t="s">
        <v>2679</v>
      </c>
      <c r="G692" s="1776" t="s">
        <v>22</v>
      </c>
      <c r="H692" s="1776" t="s">
        <v>22</v>
      </c>
      <c r="I692" s="1776" t="s">
        <v>852</v>
      </c>
    </row>
    <row r="693" spans="1:9" ht="11.25" customHeight="1">
      <c r="A693" s="1776" t="s">
        <v>2244</v>
      </c>
      <c r="B693" s="1776" t="s">
        <v>16</v>
      </c>
      <c r="C693" s="1776" t="s">
        <v>2730</v>
      </c>
      <c r="D693" s="1776" t="s">
        <v>2731</v>
      </c>
      <c r="E693" s="1776" t="s">
        <v>2732</v>
      </c>
      <c r="F693" s="1776" t="s">
        <v>2679</v>
      </c>
      <c r="G693" s="1776" t="s">
        <v>22</v>
      </c>
      <c r="H693" s="1776" t="s">
        <v>22</v>
      </c>
      <c r="I693" s="1776" t="s">
        <v>852</v>
      </c>
    </row>
    <row r="694" spans="1:9" ht="11.25" customHeight="1">
      <c r="A694" s="1776" t="s">
        <v>2244</v>
      </c>
      <c r="B694" s="1776" t="s">
        <v>16</v>
      </c>
      <c r="C694" s="1776" t="s">
        <v>2733</v>
      </c>
      <c r="D694" s="1776" t="s">
        <v>2734</v>
      </c>
      <c r="E694" s="1776" t="s">
        <v>2735</v>
      </c>
      <c r="F694" s="1776" t="s">
        <v>2679</v>
      </c>
      <c r="G694" s="1776" t="s">
        <v>22</v>
      </c>
      <c r="H694" s="1776" t="s">
        <v>22</v>
      </c>
      <c r="I694" s="1776" t="s">
        <v>852</v>
      </c>
    </row>
    <row r="695" spans="1:9" ht="11.25" customHeight="1">
      <c r="A695" s="1776" t="s">
        <v>2244</v>
      </c>
      <c r="B695" s="1776" t="s">
        <v>16</v>
      </c>
      <c r="C695" s="1776" t="s">
        <v>2736</v>
      </c>
      <c r="D695" s="1776" t="s">
        <v>2737</v>
      </c>
      <c r="E695" s="1776" t="s">
        <v>2738</v>
      </c>
      <c r="F695" s="1776" t="s">
        <v>2679</v>
      </c>
      <c r="G695" s="1776" t="s">
        <v>22</v>
      </c>
      <c r="H695" s="1776" t="s">
        <v>22</v>
      </c>
      <c r="I695" s="1776" t="s">
        <v>852</v>
      </c>
    </row>
    <row r="696" spans="1:9" ht="11.25" customHeight="1">
      <c r="A696" s="1776" t="s">
        <v>2244</v>
      </c>
      <c r="B696" s="1776" t="s">
        <v>16</v>
      </c>
      <c r="C696" s="1776" t="s">
        <v>2739</v>
      </c>
      <c r="D696" s="1776" t="s">
        <v>2740</v>
      </c>
      <c r="E696" s="1776" t="s">
        <v>2741</v>
      </c>
      <c r="F696" s="1776" t="s">
        <v>2679</v>
      </c>
      <c r="G696" s="1776" t="s">
        <v>22</v>
      </c>
      <c r="H696" s="1776" t="s">
        <v>22</v>
      </c>
      <c r="I696" s="1776" t="s">
        <v>852</v>
      </c>
    </row>
    <row r="697" spans="1:9" ht="11.25" customHeight="1">
      <c r="A697" s="1776" t="s">
        <v>2244</v>
      </c>
      <c r="B697" s="1776" t="s">
        <v>16</v>
      </c>
      <c r="C697" s="1776" t="s">
        <v>2742</v>
      </c>
      <c r="D697" s="1776" t="s">
        <v>2743</v>
      </c>
      <c r="E697" s="1776" t="s">
        <v>2744</v>
      </c>
      <c r="F697" s="1776" t="s">
        <v>2344</v>
      </c>
      <c r="G697" s="1776" t="s">
        <v>22</v>
      </c>
      <c r="H697" s="1776" t="s">
        <v>22</v>
      </c>
      <c r="I697" s="1776" t="s">
        <v>852</v>
      </c>
    </row>
    <row r="698" spans="1:9" ht="11.25" customHeight="1">
      <c r="A698" s="1776" t="s">
        <v>2244</v>
      </c>
      <c r="B698" s="1776" t="s">
        <v>16</v>
      </c>
      <c r="C698" s="1776" t="s">
        <v>2745</v>
      </c>
      <c r="D698" s="1776" t="s">
        <v>2746</v>
      </c>
      <c r="E698" s="1776" t="s">
        <v>2747</v>
      </c>
      <c r="F698" s="1776" t="s">
        <v>2679</v>
      </c>
      <c r="G698" s="1776" t="s">
        <v>22</v>
      </c>
      <c r="H698" s="1776" t="s">
        <v>22</v>
      </c>
      <c r="I698" s="1776" t="s">
        <v>852</v>
      </c>
    </row>
    <row r="699" spans="1:9" ht="11.25" customHeight="1">
      <c r="A699" s="1776" t="s">
        <v>2244</v>
      </c>
      <c r="B699" s="1776" t="s">
        <v>16</v>
      </c>
      <c r="C699" s="1776" t="s">
        <v>2748</v>
      </c>
      <c r="D699" s="1776" t="s">
        <v>2749</v>
      </c>
      <c r="E699" s="1776" t="s">
        <v>2750</v>
      </c>
      <c r="F699" s="1776" t="s">
        <v>2751</v>
      </c>
      <c r="G699" s="1776" t="s">
        <v>22</v>
      </c>
      <c r="H699" s="1776" t="s">
        <v>22</v>
      </c>
      <c r="I699" s="1776" t="s">
        <v>852</v>
      </c>
    </row>
    <row r="700" spans="1:9" ht="11.25" customHeight="1">
      <c r="A700" s="1776" t="s">
        <v>2244</v>
      </c>
      <c r="B700" s="1776" t="s">
        <v>16</v>
      </c>
      <c r="C700" s="1776" t="s">
        <v>2752</v>
      </c>
      <c r="D700" s="1776" t="s">
        <v>2753</v>
      </c>
      <c r="E700" s="1776" t="s">
        <v>2754</v>
      </c>
      <c r="F700" s="1776" t="s">
        <v>2679</v>
      </c>
      <c r="G700" s="1776" t="s">
        <v>22</v>
      </c>
      <c r="H700" s="1776" t="s">
        <v>22</v>
      </c>
      <c r="I700" s="1776" t="s">
        <v>852</v>
      </c>
    </row>
    <row r="701" spans="1:9" ht="11.25" customHeight="1">
      <c r="A701" s="1776" t="s">
        <v>2244</v>
      </c>
      <c r="B701" s="1776" t="s">
        <v>16</v>
      </c>
      <c r="C701" s="1776" t="s">
        <v>2755</v>
      </c>
      <c r="D701" s="1776" t="s">
        <v>2756</v>
      </c>
      <c r="E701" s="1776" t="s">
        <v>2757</v>
      </c>
      <c r="F701" s="1776" t="s">
        <v>2758</v>
      </c>
      <c r="G701" s="1776" t="s">
        <v>22</v>
      </c>
      <c r="H701" s="1776" t="s">
        <v>22</v>
      </c>
      <c r="I701" s="1776" t="s">
        <v>852</v>
      </c>
    </row>
    <row r="702" spans="1:9" ht="11.25" customHeight="1">
      <c r="A702" s="1776" t="s">
        <v>2244</v>
      </c>
      <c r="B702" s="1776" t="s">
        <v>16</v>
      </c>
      <c r="C702" s="1776" t="s">
        <v>3807</v>
      </c>
      <c r="D702" s="1776" t="s">
        <v>3808</v>
      </c>
      <c r="E702" s="1776" t="s">
        <v>3809</v>
      </c>
      <c r="F702" s="1776" t="s">
        <v>2631</v>
      </c>
      <c r="G702" s="1776" t="s">
        <v>22</v>
      </c>
      <c r="H702" s="1776" t="s">
        <v>22</v>
      </c>
      <c r="I702" s="1776" t="s">
        <v>852</v>
      </c>
    </row>
    <row r="703" spans="1:9" ht="11.25" customHeight="1">
      <c r="A703" s="1776" t="s">
        <v>2244</v>
      </c>
      <c r="B703" s="1776" t="s">
        <v>16</v>
      </c>
      <c r="C703" s="1776" t="s">
        <v>2759</v>
      </c>
      <c r="D703" s="1776" t="s">
        <v>2760</v>
      </c>
      <c r="E703" s="1776" t="s">
        <v>2761</v>
      </c>
      <c r="F703" s="1776" t="s">
        <v>2500</v>
      </c>
      <c r="G703" s="1776" t="s">
        <v>22</v>
      </c>
      <c r="H703" s="1776" t="s">
        <v>22</v>
      </c>
      <c r="I703" s="1776" t="s">
        <v>852</v>
      </c>
    </row>
    <row r="704" spans="1:9" ht="11.25" customHeight="1">
      <c r="A704" s="1776" t="s">
        <v>2244</v>
      </c>
      <c r="B704" s="1776" t="s">
        <v>16</v>
      </c>
      <c r="C704" s="1776" t="s">
        <v>3810</v>
      </c>
      <c r="D704" s="1776" t="s">
        <v>3811</v>
      </c>
      <c r="E704" s="1776" t="s">
        <v>3812</v>
      </c>
      <c r="F704" s="1776" t="s">
        <v>2855</v>
      </c>
      <c r="G704" s="1776" t="s">
        <v>22</v>
      </c>
      <c r="H704" s="1776" t="s">
        <v>22</v>
      </c>
      <c r="I704" s="1776" t="s">
        <v>852</v>
      </c>
    </row>
    <row r="705" spans="1:9" ht="11.25" customHeight="1">
      <c r="A705" s="1776" t="s">
        <v>2244</v>
      </c>
      <c r="B705" s="1776" t="s">
        <v>16</v>
      </c>
      <c r="C705" s="1776" t="s">
        <v>2762</v>
      </c>
      <c r="D705" s="1776" t="s">
        <v>2763</v>
      </c>
      <c r="E705" s="1776" t="s">
        <v>2764</v>
      </c>
      <c r="F705" s="1776" t="s">
        <v>2523</v>
      </c>
      <c r="G705" s="1776" t="s">
        <v>22</v>
      </c>
      <c r="H705" s="1776" t="s">
        <v>22</v>
      </c>
      <c r="I705" s="1776" t="s">
        <v>852</v>
      </c>
    </row>
    <row r="706" spans="1:9" ht="11.25" customHeight="1">
      <c r="A706" s="1776" t="s">
        <v>2244</v>
      </c>
      <c r="B706" s="1776" t="s">
        <v>16</v>
      </c>
      <c r="C706" s="1776" t="s">
        <v>2765</v>
      </c>
      <c r="D706" s="1776" t="s">
        <v>2766</v>
      </c>
      <c r="E706" s="1776" t="s">
        <v>2767</v>
      </c>
      <c r="F706" s="1776" t="s">
        <v>2294</v>
      </c>
      <c r="G706" s="1776" t="s">
        <v>22</v>
      </c>
      <c r="H706" s="1776" t="s">
        <v>22</v>
      </c>
      <c r="I706" s="1776" t="s">
        <v>852</v>
      </c>
    </row>
    <row r="707" spans="1:9" ht="11.25" customHeight="1">
      <c r="A707" s="1776" t="s">
        <v>2244</v>
      </c>
      <c r="B707" s="1776" t="s">
        <v>16</v>
      </c>
      <c r="C707" s="1776" t="s">
        <v>3813</v>
      </c>
      <c r="D707" s="1776" t="s">
        <v>3814</v>
      </c>
      <c r="E707" s="1776" t="s">
        <v>3815</v>
      </c>
      <c r="F707" s="1776" t="s">
        <v>2815</v>
      </c>
      <c r="G707" s="1776" t="s">
        <v>22</v>
      </c>
      <c r="H707" s="1776" t="s">
        <v>22</v>
      </c>
      <c r="I707" s="1776" t="s">
        <v>852</v>
      </c>
    </row>
    <row r="708" spans="1:9" ht="11.25" customHeight="1">
      <c r="A708" s="1776" t="s">
        <v>2244</v>
      </c>
      <c r="B708" s="1776" t="s">
        <v>16</v>
      </c>
      <c r="C708" s="1776" t="s">
        <v>3816</v>
      </c>
      <c r="D708" s="1776" t="s">
        <v>3817</v>
      </c>
      <c r="E708" s="1776" t="s">
        <v>3818</v>
      </c>
      <c r="F708" s="1776" t="s">
        <v>2523</v>
      </c>
      <c r="G708" s="1776" t="s">
        <v>22</v>
      </c>
      <c r="H708" s="1776" t="s">
        <v>22</v>
      </c>
      <c r="I708" s="1776" t="s">
        <v>852</v>
      </c>
    </row>
    <row r="709" spans="1:9" ht="11.25" customHeight="1">
      <c r="A709" s="1776" t="s">
        <v>2244</v>
      </c>
      <c r="B709" s="1776" t="s">
        <v>16</v>
      </c>
      <c r="C709" s="1776" t="s">
        <v>2768</v>
      </c>
      <c r="D709" s="1776" t="s">
        <v>2769</v>
      </c>
      <c r="E709" s="1776" t="s">
        <v>2770</v>
      </c>
      <c r="F709" s="1776" t="s">
        <v>2771</v>
      </c>
      <c r="G709" s="1776" t="s">
        <v>22</v>
      </c>
      <c r="H709" s="1776" t="s">
        <v>22</v>
      </c>
      <c r="I709" s="1776" t="s">
        <v>852</v>
      </c>
    </row>
    <row r="710" spans="1:9" ht="11.25" customHeight="1">
      <c r="A710" s="1776" t="s">
        <v>2244</v>
      </c>
      <c r="B710" s="1776" t="s">
        <v>16</v>
      </c>
      <c r="C710" s="1776" t="s">
        <v>2772</v>
      </c>
      <c r="D710" s="1776" t="s">
        <v>2773</v>
      </c>
      <c r="E710" s="1776" t="s">
        <v>2774</v>
      </c>
      <c r="F710" s="1776" t="s">
        <v>2527</v>
      </c>
      <c r="G710" s="1776" t="s">
        <v>22</v>
      </c>
      <c r="H710" s="1776" t="s">
        <v>22</v>
      </c>
      <c r="I710" s="1776" t="s">
        <v>852</v>
      </c>
    </row>
    <row r="711" spans="1:9" ht="11.25" customHeight="1">
      <c r="A711" s="1776" t="s">
        <v>2244</v>
      </c>
      <c r="B711" s="1776" t="s">
        <v>16</v>
      </c>
      <c r="C711" s="1776" t="s">
        <v>2778</v>
      </c>
      <c r="D711" s="1776" t="s">
        <v>2779</v>
      </c>
      <c r="E711" s="1776" t="s">
        <v>2780</v>
      </c>
      <c r="F711" s="1776" t="s">
        <v>2523</v>
      </c>
      <c r="G711" s="1776" t="s">
        <v>22</v>
      </c>
      <c r="H711" s="1776" t="s">
        <v>22</v>
      </c>
      <c r="I711" s="1776" t="s">
        <v>852</v>
      </c>
    </row>
    <row r="712" spans="1:9" ht="11.25" customHeight="1">
      <c r="A712" s="1776" t="s">
        <v>2244</v>
      </c>
      <c r="B712" s="1776" t="s">
        <v>16</v>
      </c>
      <c r="C712" s="1776" t="s">
        <v>3819</v>
      </c>
      <c r="D712" s="1776" t="s">
        <v>3820</v>
      </c>
      <c r="E712" s="1776" t="s">
        <v>3821</v>
      </c>
      <c r="F712" s="1776" t="s">
        <v>2507</v>
      </c>
      <c r="G712" s="1776" t="s">
        <v>22</v>
      </c>
      <c r="H712" s="1776" t="s">
        <v>22</v>
      </c>
      <c r="I712" s="1776" t="s">
        <v>852</v>
      </c>
    </row>
    <row r="713" spans="1:9" ht="11.25" customHeight="1">
      <c r="A713" s="1776" t="s">
        <v>2244</v>
      </c>
      <c r="B713" s="1776" t="s">
        <v>16</v>
      </c>
      <c r="C713" s="1776" t="s">
        <v>3822</v>
      </c>
      <c r="D713" s="1776" t="s">
        <v>3823</v>
      </c>
      <c r="E713" s="1776" t="s">
        <v>3824</v>
      </c>
      <c r="F713" s="1776" t="s">
        <v>2507</v>
      </c>
      <c r="G713" s="1776" t="s">
        <v>22</v>
      </c>
      <c r="H713" s="1776" t="s">
        <v>22</v>
      </c>
      <c r="I713" s="1776" t="s">
        <v>852</v>
      </c>
    </row>
    <row r="714" spans="1:9" ht="11.25" customHeight="1">
      <c r="A714" s="1776" t="s">
        <v>2244</v>
      </c>
      <c r="B714" s="1776" t="s">
        <v>16</v>
      </c>
      <c r="C714" s="1776" t="s">
        <v>2781</v>
      </c>
      <c r="D714" s="1776" t="s">
        <v>2782</v>
      </c>
      <c r="E714" s="1776" t="s">
        <v>2783</v>
      </c>
      <c r="F714" s="1776" t="s">
        <v>2344</v>
      </c>
      <c r="G714" s="1776" t="s">
        <v>22</v>
      </c>
      <c r="H714" s="1776" t="s">
        <v>22</v>
      </c>
      <c r="I714" s="1776" t="s">
        <v>852</v>
      </c>
    </row>
    <row r="715" spans="1:9" ht="11.25" customHeight="1">
      <c r="A715" s="1776" t="s">
        <v>2244</v>
      </c>
      <c r="B715" s="1776" t="s">
        <v>16</v>
      </c>
      <c r="C715" s="1776" t="s">
        <v>2784</v>
      </c>
      <c r="D715" s="1776" t="s">
        <v>2785</v>
      </c>
      <c r="E715" s="1776" t="s">
        <v>2786</v>
      </c>
      <c r="F715" s="1776" t="s">
        <v>2294</v>
      </c>
      <c r="G715" s="1776" t="s">
        <v>22</v>
      </c>
      <c r="H715" s="1776" t="s">
        <v>22</v>
      </c>
      <c r="I715" s="1776" t="s">
        <v>852</v>
      </c>
    </row>
    <row r="716" spans="1:9" ht="11.25" customHeight="1">
      <c r="A716" s="1776" t="s">
        <v>2244</v>
      </c>
      <c r="B716" s="1776" t="s">
        <v>16</v>
      </c>
      <c r="C716" s="1776" t="s">
        <v>2787</v>
      </c>
      <c r="D716" s="1776" t="s">
        <v>2788</v>
      </c>
      <c r="E716" s="1776" t="s">
        <v>2789</v>
      </c>
      <c r="F716" s="1776" t="s">
        <v>2294</v>
      </c>
      <c r="G716" s="1776" t="s">
        <v>22</v>
      </c>
      <c r="H716" s="1776" t="s">
        <v>22</v>
      </c>
      <c r="I716" s="1776" t="s">
        <v>852</v>
      </c>
    </row>
    <row r="717" spans="1:9" ht="11.25" customHeight="1">
      <c r="A717" s="1776" t="s">
        <v>2244</v>
      </c>
      <c r="B717" s="1776" t="s">
        <v>16</v>
      </c>
      <c r="C717" s="1776" t="s">
        <v>3825</v>
      </c>
      <c r="D717" s="1776" t="s">
        <v>3826</v>
      </c>
      <c r="E717" s="1776" t="s">
        <v>3827</v>
      </c>
      <c r="F717" s="1776" t="s">
        <v>2523</v>
      </c>
      <c r="G717" s="1776" t="s">
        <v>22</v>
      </c>
      <c r="H717" s="1776" t="s">
        <v>22</v>
      </c>
      <c r="I717" s="1776" t="s">
        <v>852</v>
      </c>
    </row>
    <row r="718" spans="1:9" ht="11.25" customHeight="1">
      <c r="A718" s="1776" t="s">
        <v>2244</v>
      </c>
      <c r="B718" s="1776" t="s">
        <v>16</v>
      </c>
      <c r="C718" s="1776" t="s">
        <v>3828</v>
      </c>
      <c r="D718" s="1776" t="s">
        <v>3829</v>
      </c>
      <c r="E718" s="1776" t="s">
        <v>3830</v>
      </c>
      <c r="F718" s="1776" t="s">
        <v>2623</v>
      </c>
      <c r="G718" s="1776" t="s">
        <v>3831</v>
      </c>
      <c r="H718" s="1776" t="s">
        <v>22</v>
      </c>
      <c r="I718" s="1776" t="s">
        <v>852</v>
      </c>
    </row>
    <row r="719" spans="1:9" ht="11.25" customHeight="1">
      <c r="A719" s="1776" t="s">
        <v>2244</v>
      </c>
      <c r="B719" s="1776" t="s">
        <v>16</v>
      </c>
      <c r="C719" s="1776" t="s">
        <v>2796</v>
      </c>
      <c r="D719" s="1776" t="s">
        <v>2797</v>
      </c>
      <c r="E719" s="1776" t="s">
        <v>2798</v>
      </c>
      <c r="F719" s="1776" t="s">
        <v>2519</v>
      </c>
      <c r="G719" s="1776" t="s">
        <v>22</v>
      </c>
      <c r="H719" s="1776" t="s">
        <v>22</v>
      </c>
      <c r="I719" s="1776" t="s">
        <v>852</v>
      </c>
    </row>
    <row r="720" spans="1:9" ht="11.25" customHeight="1">
      <c r="A720" s="1776" t="s">
        <v>2244</v>
      </c>
      <c r="B720" s="1776" t="s">
        <v>16</v>
      </c>
      <c r="C720" s="1776" t="s">
        <v>2799</v>
      </c>
      <c r="D720" s="1776" t="s">
        <v>2800</v>
      </c>
      <c r="E720" s="1776" t="s">
        <v>2801</v>
      </c>
      <c r="F720" s="1776" t="s">
        <v>2515</v>
      </c>
      <c r="G720" s="1776" t="s">
        <v>22</v>
      </c>
      <c r="H720" s="1776" t="s">
        <v>22</v>
      </c>
      <c r="I720" s="1776" t="s">
        <v>852</v>
      </c>
    </row>
    <row r="721" spans="1:9" ht="11.25" customHeight="1">
      <c r="A721" s="1776" t="s">
        <v>2244</v>
      </c>
      <c r="B721" s="1776" t="s">
        <v>16</v>
      </c>
      <c r="C721" s="1776" t="s">
        <v>3832</v>
      </c>
      <c r="D721" s="1776" t="s">
        <v>3833</v>
      </c>
      <c r="E721" s="1776" t="s">
        <v>3834</v>
      </c>
      <c r="F721" s="1776" t="s">
        <v>2523</v>
      </c>
      <c r="G721" s="1776" t="s">
        <v>22</v>
      </c>
      <c r="H721" s="1776" t="s">
        <v>22</v>
      </c>
      <c r="I721" s="1776" t="s">
        <v>852</v>
      </c>
    </row>
    <row r="722" spans="1:9" ht="11.25" customHeight="1">
      <c r="A722" s="1776" t="s">
        <v>2244</v>
      </c>
      <c r="B722" s="1776" t="s">
        <v>16</v>
      </c>
      <c r="C722" s="1776" t="s">
        <v>2802</v>
      </c>
      <c r="D722" s="1776" t="s">
        <v>2803</v>
      </c>
      <c r="E722" s="1776" t="s">
        <v>2804</v>
      </c>
      <c r="F722" s="1776" t="s">
        <v>2679</v>
      </c>
      <c r="G722" s="1776" t="s">
        <v>22</v>
      </c>
      <c r="H722" s="1776" t="s">
        <v>22</v>
      </c>
      <c r="I722" s="1776" t="s">
        <v>852</v>
      </c>
    </row>
    <row r="723" spans="1:9" ht="11.25" customHeight="1">
      <c r="A723" s="1776" t="s">
        <v>2244</v>
      </c>
      <c r="B723" s="1776" t="s">
        <v>16</v>
      </c>
      <c r="C723" s="1776" t="s">
        <v>2805</v>
      </c>
      <c r="D723" s="1776" t="s">
        <v>2806</v>
      </c>
      <c r="E723" s="1776" t="s">
        <v>2807</v>
      </c>
      <c r="F723" s="1776" t="s">
        <v>2808</v>
      </c>
      <c r="G723" s="1776" t="s">
        <v>22</v>
      </c>
      <c r="H723" s="1776" t="s">
        <v>22</v>
      </c>
      <c r="I723" s="1776" t="s">
        <v>852</v>
      </c>
    </row>
    <row r="724" spans="1:9" ht="11.25" customHeight="1">
      <c r="A724" s="1776" t="s">
        <v>2244</v>
      </c>
      <c r="B724" s="1776" t="s">
        <v>16</v>
      </c>
      <c r="C724" s="1776" t="s">
        <v>2809</v>
      </c>
      <c r="D724" s="1776" t="s">
        <v>2810</v>
      </c>
      <c r="E724" s="1776" t="s">
        <v>2811</v>
      </c>
      <c r="F724" s="1776" t="s">
        <v>2302</v>
      </c>
      <c r="G724" s="1776" t="s">
        <v>22</v>
      </c>
      <c r="H724" s="1776" t="s">
        <v>22</v>
      </c>
      <c r="I724" s="1776" t="s">
        <v>852</v>
      </c>
    </row>
    <row r="725" spans="1:9" ht="11.25" customHeight="1">
      <c r="A725" s="1776" t="s">
        <v>2244</v>
      </c>
      <c r="B725" s="1776" t="s">
        <v>16</v>
      </c>
      <c r="C725" s="1776" t="s">
        <v>2816</v>
      </c>
      <c r="D725" s="1776" t="s">
        <v>2817</v>
      </c>
      <c r="E725" s="1776" t="s">
        <v>2818</v>
      </c>
      <c r="F725" s="1776" t="s">
        <v>2679</v>
      </c>
      <c r="G725" s="1776" t="s">
        <v>22</v>
      </c>
      <c r="H725" s="1776" t="s">
        <v>22</v>
      </c>
      <c r="I725" s="1776" t="s">
        <v>852</v>
      </c>
    </row>
    <row r="726" spans="1:9" ht="11.25" customHeight="1">
      <c r="A726" s="1776" t="s">
        <v>2244</v>
      </c>
      <c r="B726" s="1776" t="s">
        <v>16</v>
      </c>
      <c r="C726" s="1776" t="s">
        <v>2822</v>
      </c>
      <c r="D726" s="1776" t="s">
        <v>2823</v>
      </c>
      <c r="E726" s="1776" t="s">
        <v>2824</v>
      </c>
      <c r="F726" s="1776" t="s">
        <v>2697</v>
      </c>
      <c r="G726" s="1776" t="s">
        <v>22</v>
      </c>
      <c r="H726" s="1776" t="s">
        <v>22</v>
      </c>
      <c r="I726" s="1776" t="s">
        <v>852</v>
      </c>
    </row>
    <row r="727" spans="1:9" ht="11.25" customHeight="1">
      <c r="A727" s="1776" t="s">
        <v>2244</v>
      </c>
      <c r="B727" s="1776" t="s">
        <v>16</v>
      </c>
      <c r="C727" s="1776" t="s">
        <v>2825</v>
      </c>
      <c r="D727" s="1776" t="s">
        <v>2826</v>
      </c>
      <c r="E727" s="1776" t="s">
        <v>2827</v>
      </c>
      <c r="F727" s="1776" t="s">
        <v>2828</v>
      </c>
      <c r="G727" s="1776" t="s">
        <v>22</v>
      </c>
      <c r="H727" s="1776" t="s">
        <v>22</v>
      </c>
      <c r="I727" s="1776" t="s">
        <v>852</v>
      </c>
    </row>
    <row r="728" spans="1:9" ht="11.25" customHeight="1">
      <c r="A728" s="1776" t="s">
        <v>2244</v>
      </c>
      <c r="B728" s="1776" t="s">
        <v>16</v>
      </c>
      <c r="C728" s="1776" t="s">
        <v>3835</v>
      </c>
      <c r="D728" s="1776" t="s">
        <v>3836</v>
      </c>
      <c r="E728" s="1776" t="s">
        <v>3837</v>
      </c>
      <c r="F728" s="1776" t="s">
        <v>2887</v>
      </c>
      <c r="G728" s="1776" t="s">
        <v>22</v>
      </c>
      <c r="H728" s="1776" t="s">
        <v>22</v>
      </c>
      <c r="I728" s="1776" t="s">
        <v>852</v>
      </c>
    </row>
    <row r="729" spans="1:9" ht="11.25" customHeight="1">
      <c r="A729" s="1776" t="s">
        <v>2244</v>
      </c>
      <c r="B729" s="1776" t="s">
        <v>16</v>
      </c>
      <c r="C729" s="1776" t="s">
        <v>2829</v>
      </c>
      <c r="D729" s="1776" t="s">
        <v>2830</v>
      </c>
      <c r="E729" s="1776" t="s">
        <v>2831</v>
      </c>
      <c r="F729" s="1776" t="s">
        <v>2534</v>
      </c>
      <c r="G729" s="1776" t="s">
        <v>22</v>
      </c>
      <c r="H729" s="1776" t="s">
        <v>22</v>
      </c>
      <c r="I729" s="1776" t="s">
        <v>852</v>
      </c>
    </row>
    <row r="730" spans="1:9" ht="11.25" customHeight="1">
      <c r="A730" s="1776" t="s">
        <v>2244</v>
      </c>
      <c r="B730" s="1776" t="s">
        <v>16</v>
      </c>
      <c r="C730" s="1776" t="s">
        <v>2832</v>
      </c>
      <c r="D730" s="1776" t="s">
        <v>2833</v>
      </c>
      <c r="E730" s="1776" t="s">
        <v>2834</v>
      </c>
      <c r="F730" s="1776" t="s">
        <v>2835</v>
      </c>
      <c r="G730" s="1776" t="s">
        <v>22</v>
      </c>
      <c r="H730" s="1776" t="s">
        <v>22</v>
      </c>
      <c r="I730" s="1776" t="s">
        <v>852</v>
      </c>
    </row>
    <row r="731" spans="1:9" ht="11.25" customHeight="1">
      <c r="A731" s="1776" t="s">
        <v>2244</v>
      </c>
      <c r="B731" s="1776" t="s">
        <v>16</v>
      </c>
      <c r="C731" s="1776" t="s">
        <v>3838</v>
      </c>
      <c r="D731" s="1776" t="s">
        <v>3839</v>
      </c>
      <c r="E731" s="1776" t="s">
        <v>3840</v>
      </c>
      <c r="F731" s="1776" t="s">
        <v>2631</v>
      </c>
      <c r="G731" s="1776" t="s">
        <v>3841</v>
      </c>
      <c r="H731" s="1776" t="s">
        <v>22</v>
      </c>
      <c r="I731" s="1776" t="s">
        <v>852</v>
      </c>
    </row>
    <row r="732" spans="1:9" ht="11.25" customHeight="1">
      <c r="A732" s="1776" t="s">
        <v>2244</v>
      </c>
      <c r="B732" s="1776" t="s">
        <v>16</v>
      </c>
      <c r="C732" s="1776" t="s">
        <v>2836</v>
      </c>
      <c r="D732" s="1776" t="s">
        <v>2837</v>
      </c>
      <c r="E732" s="1776" t="s">
        <v>2838</v>
      </c>
      <c r="F732" s="1776" t="s">
        <v>2313</v>
      </c>
      <c r="G732" s="1776" t="s">
        <v>22</v>
      </c>
      <c r="H732" s="1776" t="s">
        <v>22</v>
      </c>
      <c r="I732" s="1776" t="s">
        <v>852</v>
      </c>
    </row>
    <row r="733" spans="1:9" ht="11.25" customHeight="1">
      <c r="A733" s="1776" t="s">
        <v>2244</v>
      </c>
      <c r="B733" s="1776" t="s">
        <v>16</v>
      </c>
      <c r="C733" s="1776" t="s">
        <v>3842</v>
      </c>
      <c r="D733" s="1776" t="s">
        <v>3843</v>
      </c>
      <c r="E733" s="1776" t="s">
        <v>3844</v>
      </c>
      <c r="F733" s="1776" t="s">
        <v>2631</v>
      </c>
      <c r="G733" s="1776" t="s">
        <v>22</v>
      </c>
      <c r="H733" s="1776" t="s">
        <v>22</v>
      </c>
      <c r="I733" s="1776" t="s">
        <v>852</v>
      </c>
    </row>
    <row r="734" spans="1:9" ht="11.25" customHeight="1">
      <c r="A734" s="1776" t="s">
        <v>2244</v>
      </c>
      <c r="B734" s="1776" t="s">
        <v>16</v>
      </c>
      <c r="C734" s="1776" t="s">
        <v>3845</v>
      </c>
      <c r="D734" s="1776" t="s">
        <v>3846</v>
      </c>
      <c r="E734" s="1776" t="s">
        <v>3847</v>
      </c>
      <c r="F734" s="1776" t="s">
        <v>2527</v>
      </c>
      <c r="G734" s="1776" t="s">
        <v>22</v>
      </c>
      <c r="H734" s="1776" t="s">
        <v>22</v>
      </c>
      <c r="I734" s="1776" t="s">
        <v>852</v>
      </c>
    </row>
    <row r="735" spans="1:9" ht="11.25" customHeight="1">
      <c r="A735" s="1776" t="s">
        <v>2244</v>
      </c>
      <c r="B735" s="1776" t="s">
        <v>16</v>
      </c>
      <c r="C735" s="1776" t="s">
        <v>2839</v>
      </c>
      <c r="D735" s="1776" t="s">
        <v>2840</v>
      </c>
      <c r="E735" s="1776" t="s">
        <v>2841</v>
      </c>
      <c r="F735" s="1776" t="s">
        <v>2511</v>
      </c>
      <c r="G735" s="1776" t="s">
        <v>22</v>
      </c>
      <c r="H735" s="1776" t="s">
        <v>22</v>
      </c>
      <c r="I735" s="1776" t="s">
        <v>852</v>
      </c>
    </row>
    <row r="736" spans="1:9" ht="11.25" customHeight="1">
      <c r="A736" s="1776" t="s">
        <v>2244</v>
      </c>
      <c r="B736" s="1776" t="s">
        <v>16</v>
      </c>
      <c r="C736" s="1776" t="s">
        <v>2842</v>
      </c>
      <c r="D736" s="1776" t="s">
        <v>2843</v>
      </c>
      <c r="E736" s="1776" t="s">
        <v>2844</v>
      </c>
      <c r="F736" s="1776" t="s">
        <v>2631</v>
      </c>
      <c r="G736" s="1776" t="s">
        <v>2845</v>
      </c>
      <c r="H736" s="1776" t="s">
        <v>22</v>
      </c>
      <c r="I736" s="1776" t="s">
        <v>852</v>
      </c>
    </row>
    <row r="737" spans="1:9" ht="11.25" customHeight="1">
      <c r="A737" s="1776" t="s">
        <v>2244</v>
      </c>
      <c r="B737" s="1776" t="s">
        <v>16</v>
      </c>
      <c r="C737" s="1776" t="s">
        <v>2846</v>
      </c>
      <c r="D737" s="1776" t="s">
        <v>2847</v>
      </c>
      <c r="E737" s="1776" t="s">
        <v>2848</v>
      </c>
      <c r="F737" s="1776" t="s">
        <v>2690</v>
      </c>
      <c r="G737" s="1776" t="s">
        <v>22</v>
      </c>
      <c r="H737" s="1776" t="s">
        <v>22</v>
      </c>
      <c r="I737" s="1776" t="s">
        <v>852</v>
      </c>
    </row>
    <row r="738" spans="1:9" ht="11.25" customHeight="1">
      <c r="A738" s="1776" t="s">
        <v>2244</v>
      </c>
      <c r="B738" s="1776" t="s">
        <v>16</v>
      </c>
      <c r="C738" s="1776" t="s">
        <v>2849</v>
      </c>
      <c r="D738" s="1776" t="s">
        <v>2850</v>
      </c>
      <c r="E738" s="1776" t="s">
        <v>2851</v>
      </c>
      <c r="F738" s="1776" t="s">
        <v>2519</v>
      </c>
      <c r="G738" s="1776" t="s">
        <v>22</v>
      </c>
      <c r="H738" s="1776" t="s">
        <v>22</v>
      </c>
      <c r="I738" s="1776" t="s">
        <v>852</v>
      </c>
    </row>
    <row r="739" spans="1:9" ht="11.25" customHeight="1">
      <c r="A739" s="1776" t="s">
        <v>2244</v>
      </c>
      <c r="B739" s="1776" t="s">
        <v>16</v>
      </c>
      <c r="C739" s="1776" t="s">
        <v>2852</v>
      </c>
      <c r="D739" s="1776" t="s">
        <v>2853</v>
      </c>
      <c r="E739" s="1776" t="s">
        <v>2854</v>
      </c>
      <c r="F739" s="1776" t="s">
        <v>2855</v>
      </c>
      <c r="G739" s="1776" t="s">
        <v>22</v>
      </c>
      <c r="H739" s="1776" t="s">
        <v>22</v>
      </c>
      <c r="I739" s="1776" t="s">
        <v>852</v>
      </c>
    </row>
    <row r="740" spans="1:9" ht="11.25" customHeight="1">
      <c r="A740" s="1776" t="s">
        <v>2244</v>
      </c>
      <c r="B740" s="1776" t="s">
        <v>16</v>
      </c>
      <c r="C740" s="1776" t="s">
        <v>2856</v>
      </c>
      <c r="D740" s="1776" t="s">
        <v>2857</v>
      </c>
      <c r="E740" s="1776" t="s">
        <v>2858</v>
      </c>
      <c r="F740" s="1776" t="s">
        <v>2491</v>
      </c>
      <c r="G740" s="1776" t="s">
        <v>22</v>
      </c>
      <c r="H740" s="1776" t="s">
        <v>22</v>
      </c>
      <c r="I740" s="1776" t="s">
        <v>852</v>
      </c>
    </row>
    <row r="741" spans="1:9" ht="11.25" customHeight="1">
      <c r="A741" s="1776" t="s">
        <v>2244</v>
      </c>
      <c r="B741" s="1776" t="s">
        <v>16</v>
      </c>
      <c r="C741" s="1776" t="s">
        <v>2859</v>
      </c>
      <c r="D741" s="1776" t="s">
        <v>2860</v>
      </c>
      <c r="E741" s="1776" t="s">
        <v>2861</v>
      </c>
      <c r="F741" s="1776" t="s">
        <v>2862</v>
      </c>
      <c r="G741" s="1776" t="s">
        <v>22</v>
      </c>
      <c r="H741" s="1776" t="s">
        <v>22</v>
      </c>
      <c r="I741" s="1776" t="s">
        <v>852</v>
      </c>
    </row>
    <row r="742" spans="1:9" ht="11.25" customHeight="1">
      <c r="A742" s="1776" t="s">
        <v>2244</v>
      </c>
      <c r="B742" s="1776" t="s">
        <v>16</v>
      </c>
      <c r="C742" s="1776" t="s">
        <v>2863</v>
      </c>
      <c r="D742" s="1776" t="s">
        <v>2864</v>
      </c>
      <c r="E742" s="1776" t="s">
        <v>2865</v>
      </c>
      <c r="F742" s="1776" t="s">
        <v>2527</v>
      </c>
      <c r="G742" s="1776" t="s">
        <v>2866</v>
      </c>
      <c r="H742" s="1776" t="s">
        <v>22</v>
      </c>
      <c r="I742" s="1776" t="s">
        <v>852</v>
      </c>
    </row>
    <row r="743" spans="1:9" ht="11.25" customHeight="1">
      <c r="A743" s="1776" t="s">
        <v>2244</v>
      </c>
      <c r="B743" s="1776" t="s">
        <v>16</v>
      </c>
      <c r="C743" s="1776" t="s">
        <v>2867</v>
      </c>
      <c r="D743" s="1776" t="s">
        <v>2868</v>
      </c>
      <c r="E743" s="1776" t="s">
        <v>2869</v>
      </c>
      <c r="F743" s="1776" t="s">
        <v>2527</v>
      </c>
      <c r="G743" s="1776" t="s">
        <v>22</v>
      </c>
      <c r="H743" s="1776" t="s">
        <v>22</v>
      </c>
      <c r="I743" s="1776" t="s">
        <v>852</v>
      </c>
    </row>
    <row r="744" spans="1:9" ht="11.25" customHeight="1">
      <c r="A744" s="1776" t="s">
        <v>2244</v>
      </c>
      <c r="B744" s="1776" t="s">
        <v>16</v>
      </c>
      <c r="C744" s="1776" t="s">
        <v>2870</v>
      </c>
      <c r="D744" s="1776" t="s">
        <v>2871</v>
      </c>
      <c r="E744" s="1776" t="s">
        <v>2872</v>
      </c>
      <c r="F744" s="1776" t="s">
        <v>2873</v>
      </c>
      <c r="G744" s="1776" t="s">
        <v>22</v>
      </c>
      <c r="H744" s="1776" t="s">
        <v>22</v>
      </c>
      <c r="I744" s="1776" t="s">
        <v>852</v>
      </c>
    </row>
    <row r="745" spans="1:9" ht="11.25" customHeight="1">
      <c r="A745" s="1776" t="s">
        <v>2244</v>
      </c>
      <c r="B745" s="1776" t="s">
        <v>16</v>
      </c>
      <c r="C745" s="1776" t="s">
        <v>2874</v>
      </c>
      <c r="D745" s="1776" t="s">
        <v>2875</v>
      </c>
      <c r="E745" s="1776" t="s">
        <v>2876</v>
      </c>
      <c r="F745" s="1776" t="s">
        <v>2679</v>
      </c>
      <c r="G745" s="1776" t="s">
        <v>22</v>
      </c>
      <c r="H745" s="1776" t="s">
        <v>22</v>
      </c>
      <c r="I745" s="1776" t="s">
        <v>852</v>
      </c>
    </row>
    <row r="746" spans="1:9" ht="11.25" customHeight="1">
      <c r="A746" s="1776" t="s">
        <v>2244</v>
      </c>
      <c r="B746" s="1776" t="s">
        <v>16</v>
      </c>
      <c r="C746" s="1776" t="s">
        <v>2877</v>
      </c>
      <c r="D746" s="1776" t="s">
        <v>2878</v>
      </c>
      <c r="E746" s="1776" t="s">
        <v>2879</v>
      </c>
      <c r="F746" s="1776" t="s">
        <v>2491</v>
      </c>
      <c r="G746" s="1776" t="s">
        <v>2880</v>
      </c>
      <c r="H746" s="1776" t="s">
        <v>22</v>
      </c>
      <c r="I746" s="1776" t="s">
        <v>852</v>
      </c>
    </row>
    <row r="747" spans="1:9" ht="11.25" customHeight="1">
      <c r="A747" s="1776" t="s">
        <v>2244</v>
      </c>
      <c r="B747" s="1776" t="s">
        <v>16</v>
      </c>
      <c r="C747" s="1776" t="s">
        <v>2881</v>
      </c>
      <c r="D747" s="1776" t="s">
        <v>2882</v>
      </c>
      <c r="E747" s="1776" t="s">
        <v>2883</v>
      </c>
      <c r="F747" s="1776" t="s">
        <v>2835</v>
      </c>
      <c r="G747" s="1776" t="s">
        <v>22</v>
      </c>
      <c r="H747" s="1776" t="s">
        <v>22</v>
      </c>
      <c r="I747" s="1776" t="s">
        <v>852</v>
      </c>
    </row>
    <row r="748" spans="1:9" ht="11.25" customHeight="1">
      <c r="A748" s="1776" t="s">
        <v>2244</v>
      </c>
      <c r="B748" s="1776" t="s">
        <v>16</v>
      </c>
      <c r="C748" s="1776" t="s">
        <v>2884</v>
      </c>
      <c r="D748" s="1776" t="s">
        <v>2885</v>
      </c>
      <c r="E748" s="1776" t="s">
        <v>2886</v>
      </c>
      <c r="F748" s="1776" t="s">
        <v>2887</v>
      </c>
      <c r="G748" s="1776" t="s">
        <v>22</v>
      </c>
      <c r="H748" s="1776" t="s">
        <v>22</v>
      </c>
      <c r="I748" s="1776" t="s">
        <v>852</v>
      </c>
    </row>
    <row r="749" spans="1:9" ht="11.25" customHeight="1">
      <c r="A749" s="1776" t="s">
        <v>2244</v>
      </c>
      <c r="B749" s="1776" t="s">
        <v>16</v>
      </c>
      <c r="C749" s="1776" t="s">
        <v>2888</v>
      </c>
      <c r="D749" s="1776" t="s">
        <v>2889</v>
      </c>
      <c r="E749" s="1776" t="s">
        <v>2890</v>
      </c>
      <c r="F749" s="1776" t="s">
        <v>2835</v>
      </c>
      <c r="G749" s="1776" t="s">
        <v>22</v>
      </c>
      <c r="H749" s="1776" t="s">
        <v>22</v>
      </c>
      <c r="I749" s="1776" t="s">
        <v>852</v>
      </c>
    </row>
    <row r="750" spans="1:9" ht="11.25" customHeight="1">
      <c r="A750" s="1776" t="s">
        <v>2244</v>
      </c>
      <c r="B750" s="1776" t="s">
        <v>16</v>
      </c>
      <c r="C750" s="1776" t="s">
        <v>2891</v>
      </c>
      <c r="D750" s="1776" t="s">
        <v>2892</v>
      </c>
      <c r="E750" s="1776" t="s">
        <v>2893</v>
      </c>
      <c r="F750" s="1776" t="s">
        <v>2631</v>
      </c>
      <c r="G750" s="1776" t="s">
        <v>2894</v>
      </c>
      <c r="H750" s="1776" t="s">
        <v>2895</v>
      </c>
      <c r="I750" s="1776" t="s">
        <v>852</v>
      </c>
    </row>
    <row r="751" spans="1:9" ht="11.25" customHeight="1">
      <c r="A751" s="1776" t="s">
        <v>2244</v>
      </c>
      <c r="B751" s="1776" t="s">
        <v>16</v>
      </c>
      <c r="C751" s="1776" t="s">
        <v>3848</v>
      </c>
      <c r="D751" s="1776" t="s">
        <v>3849</v>
      </c>
      <c r="E751" s="1776" t="s">
        <v>3850</v>
      </c>
      <c r="F751" s="1776" t="s">
        <v>2887</v>
      </c>
      <c r="G751" s="1776" t="s">
        <v>22</v>
      </c>
      <c r="H751" s="1776" t="s">
        <v>22</v>
      </c>
      <c r="I751" s="1776" t="s">
        <v>852</v>
      </c>
    </row>
    <row r="752" spans="1:9" ht="11.25" customHeight="1">
      <c r="A752" s="1776" t="s">
        <v>2244</v>
      </c>
      <c r="B752" s="1776" t="s">
        <v>16</v>
      </c>
      <c r="C752" s="1776" t="s">
        <v>3851</v>
      </c>
      <c r="D752" s="1776" t="s">
        <v>3852</v>
      </c>
      <c r="E752" s="1776" t="s">
        <v>3853</v>
      </c>
      <c r="F752" s="1776" t="s">
        <v>3070</v>
      </c>
      <c r="G752" s="1776" t="s">
        <v>22</v>
      </c>
      <c r="H752" s="1776" t="s">
        <v>22</v>
      </c>
      <c r="I752" s="1776" t="s">
        <v>852</v>
      </c>
    </row>
    <row r="753" spans="1:9" ht="11.25" customHeight="1">
      <c r="A753" s="1776" t="s">
        <v>2244</v>
      </c>
      <c r="B753" s="1776" t="s">
        <v>16</v>
      </c>
      <c r="C753" s="1776" t="s">
        <v>2896</v>
      </c>
      <c r="D753" s="1776" t="s">
        <v>2897</v>
      </c>
      <c r="E753" s="1776" t="s">
        <v>2898</v>
      </c>
      <c r="F753" s="1776" t="s">
        <v>2491</v>
      </c>
      <c r="G753" s="1776" t="s">
        <v>2899</v>
      </c>
      <c r="H753" s="1776" t="s">
        <v>22</v>
      </c>
      <c r="I753" s="1776" t="s">
        <v>852</v>
      </c>
    </row>
    <row r="754" spans="1:9" ht="11.25" customHeight="1">
      <c r="A754" s="1776" t="s">
        <v>2244</v>
      </c>
      <c r="B754" s="1776" t="s">
        <v>16</v>
      </c>
      <c r="C754" s="1776" t="s">
        <v>2915</v>
      </c>
      <c r="D754" s="1776" t="s">
        <v>2916</v>
      </c>
      <c r="E754" s="1776" t="s">
        <v>2917</v>
      </c>
      <c r="F754" s="1776" t="s">
        <v>2491</v>
      </c>
      <c r="G754" s="1776" t="s">
        <v>22</v>
      </c>
      <c r="H754" s="1776" t="s">
        <v>22</v>
      </c>
      <c r="I754" s="1776" t="s">
        <v>852</v>
      </c>
    </row>
    <row r="755" spans="1:9" ht="11.25" customHeight="1">
      <c r="A755" s="1776" t="s">
        <v>2244</v>
      </c>
      <c r="B755" s="1776" t="s">
        <v>16</v>
      </c>
      <c r="C755" s="1776" t="s">
        <v>2927</v>
      </c>
      <c r="D755" s="1776" t="s">
        <v>2928</v>
      </c>
      <c r="E755" s="1776" t="s">
        <v>2929</v>
      </c>
      <c r="F755" s="1776" t="s">
        <v>2930</v>
      </c>
      <c r="G755" s="1776" t="s">
        <v>22</v>
      </c>
      <c r="H755" s="1776" t="s">
        <v>22</v>
      </c>
      <c r="I755" s="1776" t="s">
        <v>852</v>
      </c>
    </row>
    <row r="756" spans="1:9" ht="11.25" customHeight="1">
      <c r="A756" s="1776" t="s">
        <v>2244</v>
      </c>
      <c r="B756" s="1776" t="s">
        <v>16</v>
      </c>
      <c r="C756" s="1776" t="s">
        <v>3854</v>
      </c>
      <c r="D756" s="1776" t="s">
        <v>3855</v>
      </c>
      <c r="E756" s="1776" t="s">
        <v>3856</v>
      </c>
      <c r="F756" s="1776" t="s">
        <v>2527</v>
      </c>
      <c r="G756" s="1776" t="s">
        <v>22</v>
      </c>
      <c r="H756" s="1776" t="s">
        <v>22</v>
      </c>
      <c r="I756" s="1776" t="s">
        <v>852</v>
      </c>
    </row>
    <row r="757" spans="1:9" ht="11.25" customHeight="1">
      <c r="A757" s="1776" t="s">
        <v>2244</v>
      </c>
      <c r="B757" s="1776" t="s">
        <v>16</v>
      </c>
      <c r="C757" s="1776" t="s">
        <v>2952</v>
      </c>
      <c r="D757" s="1776" t="s">
        <v>2953</v>
      </c>
      <c r="E757" s="1776" t="s">
        <v>2954</v>
      </c>
      <c r="F757" s="1776" t="s">
        <v>2368</v>
      </c>
      <c r="G757" s="1776" t="s">
        <v>22</v>
      </c>
      <c r="H757" s="1776" t="s">
        <v>22</v>
      </c>
      <c r="I757" s="1776" t="s">
        <v>852</v>
      </c>
    </row>
    <row r="758" spans="1:9" ht="11.25" customHeight="1">
      <c r="A758" s="1776" t="s">
        <v>2244</v>
      </c>
      <c r="B758" s="1776" t="s">
        <v>16</v>
      </c>
      <c r="C758" s="1776" t="s">
        <v>2955</v>
      </c>
      <c r="D758" s="1776" t="s">
        <v>2956</v>
      </c>
      <c r="E758" s="1776" t="s">
        <v>2957</v>
      </c>
      <c r="F758" s="1776" t="s">
        <v>2527</v>
      </c>
      <c r="G758" s="1776" t="s">
        <v>22</v>
      </c>
      <c r="H758" s="1776" t="s">
        <v>2958</v>
      </c>
      <c r="I758" s="1776" t="s">
        <v>852</v>
      </c>
    </row>
    <row r="759" spans="1:9" ht="11.25" customHeight="1">
      <c r="A759" s="1776" t="s">
        <v>2244</v>
      </c>
      <c r="B759" s="1776" t="s">
        <v>16</v>
      </c>
      <c r="C759" s="1776" t="s">
        <v>2959</v>
      </c>
      <c r="D759" s="1776" t="s">
        <v>2960</v>
      </c>
      <c r="E759" s="1776" t="s">
        <v>2961</v>
      </c>
      <c r="F759" s="1776" t="s">
        <v>2962</v>
      </c>
      <c r="G759" s="1776" t="s">
        <v>22</v>
      </c>
      <c r="H759" s="1776" t="s">
        <v>22</v>
      </c>
      <c r="I759" s="1776" t="s">
        <v>852</v>
      </c>
    </row>
    <row r="760" spans="1:9" ht="11.25" customHeight="1">
      <c r="A760" s="1776" t="s">
        <v>2244</v>
      </c>
      <c r="B760" s="1776" t="s">
        <v>16</v>
      </c>
      <c r="C760" s="1776" t="s">
        <v>2963</v>
      </c>
      <c r="D760" s="1776" t="s">
        <v>2964</v>
      </c>
      <c r="E760" s="1776" t="s">
        <v>2965</v>
      </c>
      <c r="F760" s="1776" t="s">
        <v>2701</v>
      </c>
      <c r="G760" s="1776" t="s">
        <v>22</v>
      </c>
      <c r="H760" s="1776" t="s">
        <v>22</v>
      </c>
      <c r="I760" s="1776" t="s">
        <v>852</v>
      </c>
    </row>
    <row r="761" spans="1:9" ht="11.25" customHeight="1">
      <c r="A761" s="1776" t="s">
        <v>2244</v>
      </c>
      <c r="B761" s="1776" t="s">
        <v>16</v>
      </c>
      <c r="C761" s="1776" t="s">
        <v>2978</v>
      </c>
      <c r="D761" s="1776" t="s">
        <v>2979</v>
      </c>
      <c r="E761" s="1776" t="s">
        <v>2980</v>
      </c>
      <c r="F761" s="1776" t="s">
        <v>2679</v>
      </c>
      <c r="G761" s="1776" t="s">
        <v>22</v>
      </c>
      <c r="H761" s="1776" t="s">
        <v>22</v>
      </c>
      <c r="I761" s="1776" t="s">
        <v>852</v>
      </c>
    </row>
    <row r="762" spans="1:9" ht="11.25" customHeight="1">
      <c r="A762" s="1776" t="s">
        <v>2244</v>
      </c>
      <c r="B762" s="1776" t="s">
        <v>16</v>
      </c>
      <c r="C762" s="1776" t="s">
        <v>3857</v>
      </c>
      <c r="D762" s="1776" t="s">
        <v>3858</v>
      </c>
      <c r="E762" s="1776" t="s">
        <v>3859</v>
      </c>
      <c r="F762" s="1776" t="s">
        <v>2344</v>
      </c>
      <c r="G762" s="1776" t="s">
        <v>22</v>
      </c>
      <c r="H762" s="1776" t="s">
        <v>22</v>
      </c>
      <c r="I762" s="1776" t="s">
        <v>852</v>
      </c>
    </row>
    <row r="763" spans="1:9" ht="11.25" customHeight="1">
      <c r="A763" s="1776" t="s">
        <v>2244</v>
      </c>
      <c r="B763" s="1776" t="s">
        <v>16</v>
      </c>
      <c r="C763" s="1776" t="s">
        <v>2987</v>
      </c>
      <c r="D763" s="1776" t="s">
        <v>2988</v>
      </c>
      <c r="E763" s="1776" t="s">
        <v>2559</v>
      </c>
      <c r="F763" s="1776" t="s">
        <v>2989</v>
      </c>
      <c r="G763" s="1776" t="s">
        <v>22</v>
      </c>
      <c r="H763" s="1776" t="s">
        <v>22</v>
      </c>
      <c r="I763" s="1776" t="s">
        <v>852</v>
      </c>
    </row>
    <row r="764" spans="1:9" ht="11.25" customHeight="1">
      <c r="A764" s="1776" t="s">
        <v>2244</v>
      </c>
      <c r="B764" s="1776" t="s">
        <v>16</v>
      </c>
      <c r="C764" s="1776" t="s">
        <v>3860</v>
      </c>
      <c r="D764" s="1776" t="s">
        <v>3861</v>
      </c>
      <c r="E764" s="1776" t="s">
        <v>3862</v>
      </c>
      <c r="F764" s="1776" t="s">
        <v>2309</v>
      </c>
      <c r="G764" s="1776" t="s">
        <v>22</v>
      </c>
      <c r="H764" s="1776" t="s">
        <v>22</v>
      </c>
      <c r="I764" s="1776" t="s">
        <v>852</v>
      </c>
    </row>
    <row r="765" spans="1:9" ht="11.25" customHeight="1">
      <c r="A765" s="1776" t="s">
        <v>2244</v>
      </c>
      <c r="B765" s="1776" t="s">
        <v>16</v>
      </c>
      <c r="C765" s="1776" t="s">
        <v>2999</v>
      </c>
      <c r="D765" s="1776" t="s">
        <v>3000</v>
      </c>
      <c r="E765" s="1776" t="s">
        <v>3001</v>
      </c>
      <c r="F765" s="1776" t="s">
        <v>2252</v>
      </c>
      <c r="G765" s="1776" t="s">
        <v>22</v>
      </c>
      <c r="H765" s="1776" t="s">
        <v>22</v>
      </c>
      <c r="I765" s="1776" t="s">
        <v>852</v>
      </c>
    </row>
    <row r="766" spans="1:9" ht="11.25" customHeight="1">
      <c r="A766" s="1776" t="s">
        <v>2244</v>
      </c>
      <c r="B766" s="1776" t="s">
        <v>16</v>
      </c>
      <c r="C766" s="1776" t="s">
        <v>3002</v>
      </c>
      <c r="D766" s="1776" t="s">
        <v>3003</v>
      </c>
      <c r="E766" s="1776" t="s">
        <v>3004</v>
      </c>
      <c r="F766" s="1776" t="s">
        <v>2511</v>
      </c>
      <c r="G766" s="1776" t="s">
        <v>22</v>
      </c>
      <c r="H766" s="1776" t="s">
        <v>22</v>
      </c>
      <c r="I766" s="1776" t="s">
        <v>852</v>
      </c>
    </row>
    <row r="767" spans="1:9" ht="11.25" customHeight="1">
      <c r="A767" s="1776" t="s">
        <v>2244</v>
      </c>
      <c r="B767" s="1776" t="s">
        <v>16</v>
      </c>
      <c r="C767" s="1776" t="s">
        <v>3005</v>
      </c>
      <c r="D767" s="1776" t="s">
        <v>3006</v>
      </c>
      <c r="E767" s="1776" t="s">
        <v>3007</v>
      </c>
      <c r="F767" s="1776" t="s">
        <v>3008</v>
      </c>
      <c r="G767" s="1776" t="s">
        <v>22</v>
      </c>
      <c r="H767" s="1776" t="s">
        <v>22</v>
      </c>
      <c r="I767" s="1776" t="s">
        <v>852</v>
      </c>
    </row>
    <row r="768" spans="1:9" ht="11.25" customHeight="1">
      <c r="A768" s="1776" t="s">
        <v>2244</v>
      </c>
      <c r="B768" s="1776" t="s">
        <v>16</v>
      </c>
      <c r="C768" s="1776" t="s">
        <v>3863</v>
      </c>
      <c r="D768" s="1776" t="s">
        <v>3864</v>
      </c>
      <c r="E768" s="1776" t="s">
        <v>3865</v>
      </c>
      <c r="F768" s="1776" t="s">
        <v>2266</v>
      </c>
      <c r="G768" s="1776" t="s">
        <v>3866</v>
      </c>
      <c r="H768" s="1776" t="s">
        <v>22</v>
      </c>
      <c r="I768" s="1776" t="s">
        <v>852</v>
      </c>
    </row>
    <row r="769" spans="1:9" ht="11.25" customHeight="1">
      <c r="A769" s="1776" t="s">
        <v>2244</v>
      </c>
      <c r="B769" s="1776" t="s">
        <v>16</v>
      </c>
      <c r="C769" s="1776" t="s">
        <v>3018</v>
      </c>
      <c r="D769" s="1776" t="s">
        <v>3019</v>
      </c>
      <c r="E769" s="1776" t="s">
        <v>3020</v>
      </c>
      <c r="F769" s="1776" t="s">
        <v>2287</v>
      </c>
      <c r="G769" s="1776" t="s">
        <v>22</v>
      </c>
      <c r="H769" s="1776" t="s">
        <v>22</v>
      </c>
      <c r="I769" s="1776" t="s">
        <v>852</v>
      </c>
    </row>
    <row r="770" spans="1:9" ht="11.25" customHeight="1">
      <c r="A770" s="1776" t="s">
        <v>2244</v>
      </c>
      <c r="B770" s="1776" t="s">
        <v>16</v>
      </c>
      <c r="C770" s="1776" t="s">
        <v>3867</v>
      </c>
      <c r="D770" s="1776" t="s">
        <v>3868</v>
      </c>
      <c r="E770" s="1776" t="s">
        <v>3869</v>
      </c>
      <c r="F770" s="1776" t="s">
        <v>2446</v>
      </c>
      <c r="G770" s="1776" t="s">
        <v>22</v>
      </c>
      <c r="H770" s="1776" t="s">
        <v>22</v>
      </c>
      <c r="I770" s="1776" t="s">
        <v>852</v>
      </c>
    </row>
    <row r="771" spans="1:9" ht="11.25" customHeight="1">
      <c r="A771" s="1776" t="s">
        <v>2244</v>
      </c>
      <c r="B771" s="1776" t="s">
        <v>16</v>
      </c>
      <c r="C771" s="1776" t="s">
        <v>3870</v>
      </c>
      <c r="D771" s="1776" t="s">
        <v>3871</v>
      </c>
      <c r="E771" s="1776" t="s">
        <v>3872</v>
      </c>
      <c r="F771" s="1776" t="s">
        <v>3070</v>
      </c>
      <c r="G771" s="1776" t="s">
        <v>22</v>
      </c>
      <c r="H771" s="1776" t="s">
        <v>22</v>
      </c>
      <c r="I771" s="1776" t="s">
        <v>852</v>
      </c>
    </row>
    <row r="772" spans="1:9" ht="11.25" customHeight="1">
      <c r="A772" s="1776" t="s">
        <v>2244</v>
      </c>
      <c r="B772" s="1776" t="s">
        <v>16</v>
      </c>
      <c r="C772" s="1776" t="s">
        <v>3873</v>
      </c>
      <c r="D772" s="1776" t="s">
        <v>3874</v>
      </c>
      <c r="E772" s="1776" t="s">
        <v>3875</v>
      </c>
      <c r="F772" s="1776" t="s">
        <v>2639</v>
      </c>
      <c r="G772" s="1776" t="s">
        <v>22</v>
      </c>
      <c r="H772" s="1776" t="s">
        <v>22</v>
      </c>
      <c r="I772" s="1776" t="s">
        <v>852</v>
      </c>
    </row>
    <row r="773" spans="1:9" ht="11.25" customHeight="1">
      <c r="A773" s="1776" t="s">
        <v>2244</v>
      </c>
      <c r="B773" s="1776" t="s">
        <v>16</v>
      </c>
      <c r="C773" s="1776" t="s">
        <v>3876</v>
      </c>
      <c r="D773" s="1776" t="s">
        <v>3877</v>
      </c>
      <c r="E773" s="1776" t="s">
        <v>3878</v>
      </c>
      <c r="F773" s="1776" t="s">
        <v>2507</v>
      </c>
      <c r="G773" s="1776" t="s">
        <v>22</v>
      </c>
      <c r="H773" s="1776" t="s">
        <v>22</v>
      </c>
      <c r="I773" s="1776" t="s">
        <v>852</v>
      </c>
    </row>
    <row r="774" spans="1:9" ht="11.25" customHeight="1">
      <c r="A774" s="1776" t="s">
        <v>2244</v>
      </c>
      <c r="B774" s="1776" t="s">
        <v>16</v>
      </c>
      <c r="C774" s="1776" t="s">
        <v>3879</v>
      </c>
      <c r="D774" s="1776" t="s">
        <v>3880</v>
      </c>
      <c r="E774" s="1776" t="s">
        <v>3881</v>
      </c>
      <c r="F774" s="1776" t="s">
        <v>2887</v>
      </c>
      <c r="G774" s="1776" t="s">
        <v>22</v>
      </c>
      <c r="H774" s="1776" t="s">
        <v>22</v>
      </c>
      <c r="I774" s="1776" t="s">
        <v>852</v>
      </c>
    </row>
    <row r="775" spans="1:9" ht="11.25" customHeight="1">
      <c r="A775" s="1776" t="s">
        <v>2244</v>
      </c>
      <c r="B775" s="1776" t="s">
        <v>16</v>
      </c>
      <c r="C775" s="1776" t="s">
        <v>3882</v>
      </c>
      <c r="D775" s="1776" t="s">
        <v>3883</v>
      </c>
      <c r="E775" s="1776" t="s">
        <v>3884</v>
      </c>
      <c r="F775" s="1776" t="s">
        <v>2627</v>
      </c>
      <c r="G775" s="1776" t="s">
        <v>22</v>
      </c>
      <c r="H775" s="1776" t="s">
        <v>22</v>
      </c>
      <c r="I775" s="1776" t="s">
        <v>852</v>
      </c>
    </row>
    <row r="776" spans="1:9" ht="11.25" customHeight="1">
      <c r="A776" s="1776" t="s">
        <v>2244</v>
      </c>
      <c r="B776" s="1776" t="s">
        <v>16</v>
      </c>
      <c r="C776" s="1776" t="s">
        <v>3885</v>
      </c>
      <c r="D776" s="1776" t="s">
        <v>3886</v>
      </c>
      <c r="E776" s="1776" t="s">
        <v>3887</v>
      </c>
      <c r="F776" s="1776" t="s">
        <v>2491</v>
      </c>
      <c r="G776" s="1776" t="s">
        <v>22</v>
      </c>
      <c r="H776" s="1776" t="s">
        <v>22</v>
      </c>
      <c r="I776" s="1776" t="s">
        <v>852</v>
      </c>
    </row>
    <row r="777" spans="1:9" ht="11.25" customHeight="1">
      <c r="A777" s="1776" t="s">
        <v>2244</v>
      </c>
      <c r="B777" s="1776" t="s">
        <v>16</v>
      </c>
      <c r="C777" s="1776" t="s">
        <v>3088</v>
      </c>
      <c r="D777" s="1776" t="s">
        <v>3089</v>
      </c>
      <c r="E777" s="1776" t="s">
        <v>3090</v>
      </c>
      <c r="F777" s="1776" t="s">
        <v>2534</v>
      </c>
      <c r="G777" s="1776" t="s">
        <v>22</v>
      </c>
      <c r="H777" s="1776" t="s">
        <v>22</v>
      </c>
      <c r="I777" s="1776" t="s">
        <v>852</v>
      </c>
    </row>
    <row r="778" spans="1:9" ht="11.25" customHeight="1">
      <c r="A778" s="1776" t="s">
        <v>2244</v>
      </c>
      <c r="B778" s="1776" t="s">
        <v>16</v>
      </c>
      <c r="C778" s="1776" t="s">
        <v>3091</v>
      </c>
      <c r="D778" s="1776" t="s">
        <v>3089</v>
      </c>
      <c r="E778" s="1776" t="s">
        <v>3092</v>
      </c>
      <c r="F778" s="1776" t="s">
        <v>2690</v>
      </c>
      <c r="G778" s="1776" t="s">
        <v>22</v>
      </c>
      <c r="H778" s="1776" t="s">
        <v>22</v>
      </c>
      <c r="I778" s="1776" t="s">
        <v>852</v>
      </c>
    </row>
    <row r="779" spans="1:9" ht="11.25" customHeight="1">
      <c r="A779" s="1776" t="s">
        <v>2244</v>
      </c>
      <c r="B779" s="1776" t="s">
        <v>16</v>
      </c>
      <c r="C779" s="1776" t="s">
        <v>3888</v>
      </c>
      <c r="D779" s="1776" t="s">
        <v>3089</v>
      </c>
      <c r="E779" s="1776" t="s">
        <v>3889</v>
      </c>
      <c r="F779" s="1776" t="s">
        <v>2280</v>
      </c>
      <c r="G779" s="1776" t="s">
        <v>22</v>
      </c>
      <c r="H779" s="1776" t="s">
        <v>22</v>
      </c>
      <c r="I779" s="1776" t="s">
        <v>852</v>
      </c>
    </row>
    <row r="780" spans="1:9" ht="11.25" customHeight="1">
      <c r="A780" s="1776" t="s">
        <v>2244</v>
      </c>
      <c r="B780" s="1776" t="s">
        <v>16</v>
      </c>
      <c r="C780" s="1776" t="s">
        <v>3890</v>
      </c>
      <c r="D780" s="1776" t="s">
        <v>3891</v>
      </c>
      <c r="E780" s="1776" t="s">
        <v>3892</v>
      </c>
      <c r="F780" s="1776" t="s">
        <v>2294</v>
      </c>
      <c r="G780" s="1776" t="s">
        <v>22</v>
      </c>
      <c r="H780" s="1776" t="s">
        <v>22</v>
      </c>
      <c r="I780" s="1776" t="s">
        <v>852</v>
      </c>
    </row>
    <row r="781" spans="1:9" ht="11.25" customHeight="1">
      <c r="A781" s="1776" t="s">
        <v>2244</v>
      </c>
      <c r="B781" s="1776" t="s">
        <v>16</v>
      </c>
      <c r="C781" s="1776" t="s">
        <v>3096</v>
      </c>
      <c r="D781" s="1776" t="s">
        <v>3097</v>
      </c>
      <c r="E781" s="1776" t="s">
        <v>3098</v>
      </c>
      <c r="F781" s="1776" t="s">
        <v>2519</v>
      </c>
      <c r="G781" s="1776" t="s">
        <v>22</v>
      </c>
      <c r="H781" s="1776" t="s">
        <v>22</v>
      </c>
      <c r="I781" s="1776" t="s">
        <v>852</v>
      </c>
    </row>
    <row r="782" spans="1:9" ht="11.25" customHeight="1">
      <c r="A782" s="1776" t="s">
        <v>2244</v>
      </c>
      <c r="B782" s="1776" t="s">
        <v>16</v>
      </c>
      <c r="C782" s="1776" t="s">
        <v>3105</v>
      </c>
      <c r="D782" s="1776" t="s">
        <v>3106</v>
      </c>
      <c r="E782" s="1776" t="s">
        <v>3107</v>
      </c>
      <c r="F782" s="1776" t="s">
        <v>3108</v>
      </c>
      <c r="G782" s="1776" t="s">
        <v>22</v>
      </c>
      <c r="H782" s="1776" t="s">
        <v>22</v>
      </c>
      <c r="I782" s="1776" t="s">
        <v>852</v>
      </c>
    </row>
    <row r="783" spans="1:9" ht="11.25" customHeight="1">
      <c r="A783" s="1776" t="s">
        <v>2244</v>
      </c>
      <c r="B783" s="1776" t="s">
        <v>16</v>
      </c>
      <c r="C783" s="1776" t="s">
        <v>3893</v>
      </c>
      <c r="D783" s="1776" t="s">
        <v>3894</v>
      </c>
      <c r="E783" s="1776" t="s">
        <v>3895</v>
      </c>
      <c r="F783" s="1776" t="s">
        <v>3896</v>
      </c>
      <c r="G783" s="1776" t="s">
        <v>22</v>
      </c>
      <c r="H783" s="1776" t="s">
        <v>22</v>
      </c>
      <c r="I783" s="1776" t="s">
        <v>852</v>
      </c>
    </row>
    <row r="784" spans="1:9" ht="11.25" customHeight="1">
      <c r="A784" s="1776" t="s">
        <v>2244</v>
      </c>
      <c r="B784" s="1776" t="s">
        <v>16</v>
      </c>
      <c r="C784" s="1776" t="s">
        <v>3897</v>
      </c>
      <c r="D784" s="1776" t="s">
        <v>3898</v>
      </c>
      <c r="E784" s="1776" t="s">
        <v>3899</v>
      </c>
      <c r="F784" s="1776" t="s">
        <v>2302</v>
      </c>
      <c r="G784" s="1776" t="s">
        <v>22</v>
      </c>
      <c r="H784" s="1776" t="s">
        <v>22</v>
      </c>
      <c r="I784" s="1776" t="s">
        <v>852</v>
      </c>
    </row>
    <row r="785" spans="1:9" ht="11.25" customHeight="1">
      <c r="A785" s="1776" t="s">
        <v>2244</v>
      </c>
      <c r="B785" s="1776" t="s">
        <v>16</v>
      </c>
      <c r="C785" s="1776" t="s">
        <v>3133</v>
      </c>
      <c r="D785" s="1776" t="s">
        <v>3134</v>
      </c>
      <c r="E785" s="1776" t="s">
        <v>3135</v>
      </c>
      <c r="F785" s="1776" t="s">
        <v>2446</v>
      </c>
      <c r="G785" s="1776" t="s">
        <v>22</v>
      </c>
      <c r="H785" s="1776" t="s">
        <v>22</v>
      </c>
      <c r="I785" s="1776" t="s">
        <v>852</v>
      </c>
    </row>
    <row r="786" spans="1:9" ht="11.25" customHeight="1">
      <c r="A786" s="1776" t="s">
        <v>2244</v>
      </c>
      <c r="B786" s="1776" t="s">
        <v>16</v>
      </c>
      <c r="C786" s="1776" t="s">
        <v>3900</v>
      </c>
      <c r="D786" s="1776" t="s">
        <v>3901</v>
      </c>
      <c r="E786" s="1776" t="s">
        <v>3902</v>
      </c>
      <c r="F786" s="1776" t="s">
        <v>2887</v>
      </c>
      <c r="G786" s="1776" t="s">
        <v>22</v>
      </c>
      <c r="H786" s="1776" t="s">
        <v>22</v>
      </c>
      <c r="I786" s="1776" t="s">
        <v>852</v>
      </c>
    </row>
    <row r="787" spans="1:9" ht="11.25" customHeight="1">
      <c r="A787" s="1776" t="s">
        <v>2244</v>
      </c>
      <c r="B787" s="1776" t="s">
        <v>16</v>
      </c>
      <c r="C787" s="1776" t="s">
        <v>3143</v>
      </c>
      <c r="D787" s="1776" t="s">
        <v>3144</v>
      </c>
      <c r="E787" s="1776" t="s">
        <v>3145</v>
      </c>
      <c r="F787" s="1776" t="s">
        <v>2261</v>
      </c>
      <c r="G787" s="1776" t="s">
        <v>22</v>
      </c>
      <c r="H787" s="1776" t="s">
        <v>22</v>
      </c>
      <c r="I787" s="1776" t="s">
        <v>852</v>
      </c>
    </row>
    <row r="788" spans="1:9" ht="11.25" customHeight="1">
      <c r="A788" s="1776" t="s">
        <v>2244</v>
      </c>
      <c r="B788" s="1776" t="s">
        <v>16</v>
      </c>
      <c r="C788" s="1776" t="s">
        <v>3146</v>
      </c>
      <c r="D788" s="1776" t="s">
        <v>3147</v>
      </c>
      <c r="E788" s="1776" t="s">
        <v>3148</v>
      </c>
      <c r="F788" s="1776" t="s">
        <v>2473</v>
      </c>
      <c r="G788" s="1776" t="s">
        <v>22</v>
      </c>
      <c r="H788" s="1776" t="s">
        <v>22</v>
      </c>
      <c r="I788" s="1776" t="s">
        <v>852</v>
      </c>
    </row>
    <row r="789" spans="1:9" ht="11.25" customHeight="1">
      <c r="A789" s="1776" t="s">
        <v>2244</v>
      </c>
      <c r="B789" s="1776" t="s">
        <v>16</v>
      </c>
      <c r="C789" s="1776" t="s">
        <v>3903</v>
      </c>
      <c r="D789" s="1776" t="s">
        <v>3904</v>
      </c>
      <c r="E789" s="1776" t="s">
        <v>3905</v>
      </c>
      <c r="F789" s="1776" t="s">
        <v>2309</v>
      </c>
      <c r="G789" s="1776" t="s">
        <v>22</v>
      </c>
      <c r="H789" s="1776" t="s">
        <v>22</v>
      </c>
      <c r="I789" s="1776" t="s">
        <v>852</v>
      </c>
    </row>
    <row r="790" spans="1:9" ht="11.25" customHeight="1">
      <c r="A790" s="1776" t="s">
        <v>2244</v>
      </c>
      <c r="B790" s="1776" t="s">
        <v>16</v>
      </c>
      <c r="C790" s="1776" t="s">
        <v>3906</v>
      </c>
      <c r="D790" s="1776" t="s">
        <v>3907</v>
      </c>
      <c r="E790" s="1776" t="s">
        <v>3908</v>
      </c>
      <c r="F790" s="1776" t="s">
        <v>2309</v>
      </c>
      <c r="G790" s="1776" t="s">
        <v>22</v>
      </c>
      <c r="H790" s="1776" t="s">
        <v>22</v>
      </c>
      <c r="I790" s="1776" t="s">
        <v>852</v>
      </c>
    </row>
    <row r="791" spans="1:9" ht="11.25" customHeight="1">
      <c r="A791" s="1776" t="s">
        <v>2244</v>
      </c>
      <c r="B791" s="1776" t="s">
        <v>16</v>
      </c>
      <c r="C791" s="1776" t="s">
        <v>3909</v>
      </c>
      <c r="D791" s="1776" t="s">
        <v>3910</v>
      </c>
      <c r="E791" s="1776" t="s">
        <v>3911</v>
      </c>
      <c r="F791" s="1776" t="s">
        <v>2323</v>
      </c>
      <c r="G791" s="1776" t="s">
        <v>22</v>
      </c>
      <c r="H791" s="1776" t="s">
        <v>22</v>
      </c>
      <c r="I791" s="1776" t="s">
        <v>852</v>
      </c>
    </row>
    <row r="792" spans="1:9" ht="11.25" customHeight="1">
      <c r="A792" s="1776" t="s">
        <v>2244</v>
      </c>
      <c r="B792" s="1776" t="s">
        <v>16</v>
      </c>
      <c r="C792" s="1776" t="s">
        <v>3165</v>
      </c>
      <c r="D792" s="1776" t="s">
        <v>3166</v>
      </c>
      <c r="E792" s="1776" t="s">
        <v>3167</v>
      </c>
      <c r="F792" s="1776" t="s">
        <v>2382</v>
      </c>
      <c r="G792" s="1776" t="s">
        <v>3168</v>
      </c>
      <c r="H792" s="1776" t="s">
        <v>22</v>
      </c>
      <c r="I792" s="1776" t="s">
        <v>852</v>
      </c>
    </row>
    <row r="793" spans="1:9" ht="11.25" customHeight="1">
      <c r="A793" s="1776" t="s">
        <v>2244</v>
      </c>
      <c r="B793" s="1776" t="s">
        <v>16</v>
      </c>
      <c r="C793" s="1776" t="s">
        <v>3912</v>
      </c>
      <c r="D793" s="1776" t="s">
        <v>3913</v>
      </c>
      <c r="E793" s="1776" t="s">
        <v>3914</v>
      </c>
      <c r="F793" s="1776" t="s">
        <v>2758</v>
      </c>
      <c r="G793" s="1776" t="s">
        <v>22</v>
      </c>
      <c r="H793" s="1776" t="s">
        <v>22</v>
      </c>
      <c r="I793" s="1776" t="s">
        <v>852</v>
      </c>
    </row>
    <row r="794" spans="1:9" ht="11.25" customHeight="1">
      <c r="A794" s="1776" t="s">
        <v>2244</v>
      </c>
      <c r="B794" s="1776" t="s">
        <v>16</v>
      </c>
      <c r="C794" s="1776" t="s">
        <v>3169</v>
      </c>
      <c r="D794" s="1776" t="s">
        <v>3170</v>
      </c>
      <c r="E794" s="1776" t="s">
        <v>3171</v>
      </c>
      <c r="F794" s="1776" t="s">
        <v>2287</v>
      </c>
      <c r="G794" s="1776" t="s">
        <v>22</v>
      </c>
      <c r="H794" s="1776" t="s">
        <v>22</v>
      </c>
      <c r="I794" s="1776" t="s">
        <v>852</v>
      </c>
    </row>
    <row r="795" spans="1:9" ht="11.25" customHeight="1">
      <c r="A795" s="1776" t="s">
        <v>2244</v>
      </c>
      <c r="B795" s="1776" t="s">
        <v>16</v>
      </c>
      <c r="C795" s="1776" t="s">
        <v>3189</v>
      </c>
      <c r="D795" s="1776" t="s">
        <v>3190</v>
      </c>
      <c r="E795" s="1776" t="s">
        <v>3191</v>
      </c>
      <c r="F795" s="1776" t="s">
        <v>2382</v>
      </c>
      <c r="G795" s="1776" t="s">
        <v>22</v>
      </c>
      <c r="H795" s="1776" t="s">
        <v>22</v>
      </c>
      <c r="I795" s="1776" t="s">
        <v>852</v>
      </c>
    </row>
    <row r="796" spans="1:9" ht="11.25" customHeight="1">
      <c r="A796" s="1776" t="s">
        <v>2244</v>
      </c>
      <c r="B796" s="1776" t="s">
        <v>16</v>
      </c>
      <c r="C796" s="1776" t="s">
        <v>3915</v>
      </c>
      <c r="D796" s="1776" t="s">
        <v>3190</v>
      </c>
      <c r="E796" s="1776" t="s">
        <v>3916</v>
      </c>
      <c r="F796" s="1776" t="s">
        <v>2252</v>
      </c>
      <c r="G796" s="1776" t="s">
        <v>22</v>
      </c>
      <c r="H796" s="1776" t="s">
        <v>22</v>
      </c>
      <c r="I796" s="1776" t="s">
        <v>852</v>
      </c>
    </row>
    <row r="797" spans="1:9" ht="11.25" customHeight="1">
      <c r="A797" s="1776" t="s">
        <v>2244</v>
      </c>
      <c r="B797" s="1776" t="s">
        <v>16</v>
      </c>
      <c r="C797" s="1776" t="s">
        <v>3192</v>
      </c>
      <c r="D797" s="1776" t="s">
        <v>3193</v>
      </c>
      <c r="E797" s="1776" t="s">
        <v>3194</v>
      </c>
      <c r="F797" s="1776" t="s">
        <v>2534</v>
      </c>
      <c r="G797" s="1776" t="s">
        <v>22</v>
      </c>
      <c r="H797" s="1776" t="s">
        <v>22</v>
      </c>
      <c r="I797" s="1776" t="s">
        <v>852</v>
      </c>
    </row>
    <row r="798" spans="1:9" ht="11.25" customHeight="1">
      <c r="A798" s="1776" t="s">
        <v>2244</v>
      </c>
      <c r="B798" s="1776" t="s">
        <v>16</v>
      </c>
      <c r="C798" s="1776" t="s">
        <v>3917</v>
      </c>
      <c r="D798" s="1776" t="s">
        <v>3918</v>
      </c>
      <c r="E798" s="1776" t="s">
        <v>3919</v>
      </c>
      <c r="F798" s="1776" t="s">
        <v>2705</v>
      </c>
      <c r="G798" s="1776" t="s">
        <v>22</v>
      </c>
      <c r="H798" s="1776" t="s">
        <v>22</v>
      </c>
      <c r="I798" s="1776" t="s">
        <v>852</v>
      </c>
    </row>
    <row r="799" spans="1:9" ht="11.25" customHeight="1">
      <c r="A799" s="1776" t="s">
        <v>2244</v>
      </c>
      <c r="B799" s="1776" t="s">
        <v>16</v>
      </c>
      <c r="C799" s="1776" t="s">
        <v>3920</v>
      </c>
      <c r="D799" s="1776" t="s">
        <v>3921</v>
      </c>
      <c r="E799" s="1776" t="s">
        <v>3922</v>
      </c>
      <c r="F799" s="1776" t="s">
        <v>2679</v>
      </c>
      <c r="G799" s="1776" t="s">
        <v>22</v>
      </c>
      <c r="H799" s="1776" t="s">
        <v>22</v>
      </c>
      <c r="I799" s="1776" t="s">
        <v>852</v>
      </c>
    </row>
    <row r="800" spans="1:9" ht="11.25" customHeight="1">
      <c r="A800" s="1776" t="s">
        <v>2244</v>
      </c>
      <c r="B800" s="1776" t="s">
        <v>16</v>
      </c>
      <c r="C800" s="1776" t="s">
        <v>3923</v>
      </c>
      <c r="D800" s="1776" t="s">
        <v>3924</v>
      </c>
      <c r="E800" s="1776" t="s">
        <v>3925</v>
      </c>
      <c r="F800" s="1776" t="s">
        <v>2309</v>
      </c>
      <c r="G800" s="1776" t="s">
        <v>22</v>
      </c>
      <c r="H800" s="1776" t="s">
        <v>22</v>
      </c>
      <c r="I800" s="1776" t="s">
        <v>852</v>
      </c>
    </row>
    <row r="801" spans="1:9" ht="11.25" customHeight="1">
      <c r="A801" s="1776" t="s">
        <v>2244</v>
      </c>
      <c r="B801" s="1776" t="s">
        <v>16</v>
      </c>
      <c r="C801" s="1776" t="s">
        <v>3208</v>
      </c>
      <c r="D801" s="1776" t="s">
        <v>3209</v>
      </c>
      <c r="E801" s="1776" t="s">
        <v>3210</v>
      </c>
      <c r="F801" s="1776" t="s">
        <v>2808</v>
      </c>
      <c r="G801" s="1776" t="s">
        <v>3211</v>
      </c>
      <c r="H801" s="1776" t="s">
        <v>22</v>
      </c>
      <c r="I801" s="1776" t="s">
        <v>852</v>
      </c>
    </row>
    <row r="802" spans="1:9" ht="11.25" customHeight="1">
      <c r="A802" s="1776" t="s">
        <v>2244</v>
      </c>
      <c r="B802" s="1776" t="s">
        <v>16</v>
      </c>
      <c r="C802" s="1776" t="s">
        <v>3926</v>
      </c>
      <c r="D802" s="1776" t="s">
        <v>3927</v>
      </c>
      <c r="E802" s="1776" t="s">
        <v>3928</v>
      </c>
      <c r="F802" s="1776" t="s">
        <v>2962</v>
      </c>
      <c r="G802" s="1776" t="s">
        <v>22</v>
      </c>
      <c r="H802" s="1776" t="s">
        <v>22</v>
      </c>
      <c r="I802" s="1776" t="s">
        <v>852</v>
      </c>
    </row>
    <row r="803" spans="1:9" ht="11.25" customHeight="1">
      <c r="A803" s="1776" t="s">
        <v>2244</v>
      </c>
      <c r="B803" s="1776" t="s">
        <v>16</v>
      </c>
      <c r="C803" s="1776" t="s">
        <v>3231</v>
      </c>
      <c r="D803" s="1776" t="s">
        <v>3232</v>
      </c>
      <c r="E803" s="1776" t="s">
        <v>3233</v>
      </c>
      <c r="F803" s="1776" t="s">
        <v>2257</v>
      </c>
      <c r="G803" s="1776" t="s">
        <v>22</v>
      </c>
      <c r="H803" s="1776" t="s">
        <v>22</v>
      </c>
      <c r="I803" s="1776" t="s">
        <v>852</v>
      </c>
    </row>
    <row r="804" spans="1:9" ht="11.25" customHeight="1">
      <c r="A804" s="1776" t="s">
        <v>2244</v>
      </c>
      <c r="B804" s="1776" t="s">
        <v>16</v>
      </c>
      <c r="C804" s="1776" t="s">
        <v>3929</v>
      </c>
      <c r="D804" s="1776" t="s">
        <v>3930</v>
      </c>
      <c r="E804" s="1776" t="s">
        <v>3931</v>
      </c>
      <c r="F804" s="1776" t="s">
        <v>2550</v>
      </c>
      <c r="G804" s="1776" t="s">
        <v>22</v>
      </c>
      <c r="H804" s="1776" t="s">
        <v>22</v>
      </c>
      <c r="I804" s="1776" t="s">
        <v>852</v>
      </c>
    </row>
    <row r="805" spans="1:9" ht="11.25" customHeight="1">
      <c r="A805" s="1776" t="s">
        <v>2244</v>
      </c>
      <c r="B805" s="1776" t="s">
        <v>16</v>
      </c>
      <c r="C805" s="1776" t="s">
        <v>3240</v>
      </c>
      <c r="D805" s="1776" t="s">
        <v>3241</v>
      </c>
      <c r="E805" s="1776" t="s">
        <v>3242</v>
      </c>
      <c r="F805" s="1776" t="s">
        <v>2446</v>
      </c>
      <c r="G805" s="1776" t="s">
        <v>22</v>
      </c>
      <c r="H805" s="1776" t="s">
        <v>22</v>
      </c>
      <c r="I805" s="1776" t="s">
        <v>852</v>
      </c>
    </row>
    <row r="806" spans="1:9" ht="11.25" customHeight="1">
      <c r="A806" s="1776" t="s">
        <v>2244</v>
      </c>
      <c r="B806" s="1776" t="s">
        <v>16</v>
      </c>
      <c r="C806" s="1776" t="s">
        <v>3932</v>
      </c>
      <c r="D806" s="1776" t="s">
        <v>3933</v>
      </c>
      <c r="E806" s="1776" t="s">
        <v>3934</v>
      </c>
      <c r="F806" s="1776" t="s">
        <v>3008</v>
      </c>
      <c r="G806" s="1776" t="s">
        <v>3935</v>
      </c>
      <c r="H806" s="1776" t="s">
        <v>22</v>
      </c>
      <c r="I806" s="1776" t="s">
        <v>852</v>
      </c>
    </row>
    <row r="807" spans="1:9" ht="11.25" customHeight="1">
      <c r="A807" s="1776" t="s">
        <v>2244</v>
      </c>
      <c r="B807" s="1776" t="s">
        <v>16</v>
      </c>
      <c r="C807" s="1776" t="s">
        <v>13</v>
      </c>
      <c r="D807" s="1776" t="s">
        <v>46</v>
      </c>
      <c r="E807" s="1776" t="s">
        <v>49</v>
      </c>
      <c r="F807" s="1776" t="s">
        <v>51</v>
      </c>
      <c r="G807" s="1776" t="s">
        <v>22</v>
      </c>
      <c r="H807" s="1776" t="s">
        <v>22</v>
      </c>
      <c r="I807" s="1776" t="s">
        <v>852</v>
      </c>
    </row>
    <row r="808" spans="1:9" ht="11.25" customHeight="1">
      <c r="A808" s="1776" t="s">
        <v>2244</v>
      </c>
      <c r="B808" s="1776" t="s">
        <v>16</v>
      </c>
      <c r="C808" s="1776" t="s">
        <v>3936</v>
      </c>
      <c r="D808" s="1776" t="s">
        <v>3937</v>
      </c>
      <c r="E808" s="1776" t="s">
        <v>3938</v>
      </c>
      <c r="F808" s="1776" t="s">
        <v>2302</v>
      </c>
      <c r="G808" s="1776" t="s">
        <v>22</v>
      </c>
      <c r="H808" s="1776" t="s">
        <v>22</v>
      </c>
      <c r="I808" s="1776" t="s">
        <v>852</v>
      </c>
    </row>
    <row r="809" spans="1:9" ht="11.25" customHeight="1">
      <c r="A809" s="1776" t="s">
        <v>2244</v>
      </c>
      <c r="B809" s="1776" t="s">
        <v>16</v>
      </c>
      <c r="C809" s="1776" t="s">
        <v>3939</v>
      </c>
      <c r="D809" s="1776" t="s">
        <v>3940</v>
      </c>
      <c r="E809" s="1776" t="s">
        <v>3941</v>
      </c>
      <c r="F809" s="1776" t="s">
        <v>2266</v>
      </c>
      <c r="G809" s="1776" t="s">
        <v>22</v>
      </c>
      <c r="H809" s="1776" t="s">
        <v>22</v>
      </c>
      <c r="I809" s="1776" t="s">
        <v>852</v>
      </c>
    </row>
    <row r="810" spans="1:9" ht="11.25" customHeight="1">
      <c r="A810" s="1776" t="s">
        <v>2244</v>
      </c>
      <c r="B810" s="1776" t="s">
        <v>16</v>
      </c>
      <c r="C810" s="1776" t="s">
        <v>3942</v>
      </c>
      <c r="D810" s="1776" t="s">
        <v>3943</v>
      </c>
      <c r="E810" s="1776" t="s">
        <v>3944</v>
      </c>
      <c r="F810" s="1776" t="s">
        <v>3298</v>
      </c>
      <c r="G810" s="1776" t="s">
        <v>22</v>
      </c>
      <c r="H810" s="1776" t="s">
        <v>22</v>
      </c>
      <c r="I810" s="1776" t="s">
        <v>852</v>
      </c>
    </row>
    <row r="811" spans="1:9" ht="11.25" customHeight="1">
      <c r="A811" s="1776" t="s">
        <v>2244</v>
      </c>
      <c r="B811" s="1776" t="s">
        <v>16</v>
      </c>
      <c r="C811" s="1776" t="s">
        <v>3945</v>
      </c>
      <c r="D811" s="1776" t="s">
        <v>3946</v>
      </c>
      <c r="E811" s="1776" t="s">
        <v>3947</v>
      </c>
      <c r="F811" s="1776" t="s">
        <v>2309</v>
      </c>
      <c r="G811" s="1776" t="s">
        <v>3948</v>
      </c>
      <c r="H811" s="1776" t="s">
        <v>22</v>
      </c>
      <c r="I811" s="1776" t="s">
        <v>852</v>
      </c>
    </row>
    <row r="812" spans="1:9" ht="11.25" customHeight="1">
      <c r="A812" s="1776" t="s">
        <v>2244</v>
      </c>
      <c r="B812" s="1776" t="s">
        <v>16</v>
      </c>
      <c r="C812" s="1776" t="s">
        <v>3949</v>
      </c>
      <c r="D812" s="1776" t="s">
        <v>3950</v>
      </c>
      <c r="E812" s="1776" t="s">
        <v>3951</v>
      </c>
      <c r="F812" s="1776" t="s">
        <v>2309</v>
      </c>
      <c r="G812" s="1776" t="s">
        <v>22</v>
      </c>
      <c r="H812" s="1776" t="s">
        <v>22</v>
      </c>
      <c r="I812" s="1776" t="s">
        <v>852</v>
      </c>
    </row>
    <row r="813" spans="1:9" ht="11.25" customHeight="1">
      <c r="A813" s="1776" t="s">
        <v>2244</v>
      </c>
      <c r="B813" s="1776" t="s">
        <v>16</v>
      </c>
      <c r="C813" s="1776" t="s">
        <v>3952</v>
      </c>
      <c r="D813" s="1776" t="s">
        <v>3953</v>
      </c>
      <c r="E813" s="1776" t="s">
        <v>3954</v>
      </c>
      <c r="F813" s="1776" t="s">
        <v>2808</v>
      </c>
      <c r="G813" s="1776" t="s">
        <v>3955</v>
      </c>
      <c r="H813" s="1776" t="s">
        <v>22</v>
      </c>
      <c r="I813" s="1776" t="s">
        <v>852</v>
      </c>
    </row>
    <row r="814" spans="1:9" ht="11.25" customHeight="1">
      <c r="A814" s="1776" t="s">
        <v>2244</v>
      </c>
      <c r="B814" s="1776" t="s">
        <v>16</v>
      </c>
      <c r="C814" s="1776" t="s">
        <v>3320</v>
      </c>
      <c r="D814" s="1776" t="s">
        <v>3321</v>
      </c>
      <c r="E814" s="1776" t="s">
        <v>3322</v>
      </c>
      <c r="F814" s="1776" t="s">
        <v>2302</v>
      </c>
      <c r="G814" s="1776" t="s">
        <v>22</v>
      </c>
      <c r="H814" s="1776" t="s">
        <v>22</v>
      </c>
      <c r="I814" s="1776" t="s">
        <v>852</v>
      </c>
    </row>
    <row r="815" spans="1:9" ht="11.25" customHeight="1">
      <c r="A815" s="1776" t="s">
        <v>2244</v>
      </c>
      <c r="B815" s="1776" t="s">
        <v>16</v>
      </c>
      <c r="C815" s="1776" t="s">
        <v>3323</v>
      </c>
      <c r="D815" s="1776" t="s">
        <v>3324</v>
      </c>
      <c r="E815" s="1776" t="s">
        <v>3325</v>
      </c>
      <c r="F815" s="1776" t="s">
        <v>2500</v>
      </c>
      <c r="G815" s="1776" t="s">
        <v>22</v>
      </c>
      <c r="H815" s="1776" t="s">
        <v>22</v>
      </c>
      <c r="I815" s="1776" t="s">
        <v>852</v>
      </c>
    </row>
    <row r="816" spans="1:9" ht="11.25" customHeight="1">
      <c r="A816" s="1776" t="s">
        <v>2244</v>
      </c>
      <c r="B816" s="1776" t="s">
        <v>16</v>
      </c>
      <c r="C816" s="1776" t="s">
        <v>3346</v>
      </c>
      <c r="D816" s="1776" t="s">
        <v>3347</v>
      </c>
      <c r="E816" s="1776" t="s">
        <v>3348</v>
      </c>
      <c r="F816" s="1776" t="s">
        <v>2679</v>
      </c>
      <c r="G816" s="1776" t="s">
        <v>3349</v>
      </c>
      <c r="H816" s="1776" t="s">
        <v>22</v>
      </c>
      <c r="I816" s="1776" t="s">
        <v>852</v>
      </c>
    </row>
    <row r="817" spans="1:9" ht="11.25" customHeight="1">
      <c r="A817" s="1776" t="s">
        <v>2244</v>
      </c>
      <c r="B817" s="1776" t="s">
        <v>16</v>
      </c>
      <c r="C817" s="1776" t="s">
        <v>3956</v>
      </c>
      <c r="D817" s="1776" t="s">
        <v>3957</v>
      </c>
      <c r="E817" s="1776" t="s">
        <v>3958</v>
      </c>
      <c r="F817" s="1776" t="s">
        <v>2697</v>
      </c>
      <c r="G817" s="1776" t="s">
        <v>22</v>
      </c>
      <c r="H817" s="1776" t="s">
        <v>22</v>
      </c>
      <c r="I817" s="1776" t="s">
        <v>852</v>
      </c>
    </row>
    <row r="818" spans="1:9" ht="11.25" customHeight="1">
      <c r="A818" s="1776" t="s">
        <v>2244</v>
      </c>
      <c r="B818" s="1776" t="s">
        <v>16</v>
      </c>
      <c r="C818" s="1776" t="s">
        <v>3362</v>
      </c>
      <c r="D818" s="1776" t="s">
        <v>3363</v>
      </c>
      <c r="E818" s="1776" t="s">
        <v>3364</v>
      </c>
      <c r="F818" s="1776" t="s">
        <v>2446</v>
      </c>
      <c r="G818" s="1776" t="s">
        <v>22</v>
      </c>
      <c r="H818" s="1776" t="s">
        <v>22</v>
      </c>
      <c r="I818" s="1776" t="s">
        <v>852</v>
      </c>
    </row>
    <row r="819" spans="1:9" ht="11.25" customHeight="1">
      <c r="A819" s="1776" t="s">
        <v>2244</v>
      </c>
      <c r="B819" s="1776" t="s">
        <v>16</v>
      </c>
      <c r="C819" s="1776" t="s">
        <v>3365</v>
      </c>
      <c r="D819" s="1776" t="s">
        <v>3366</v>
      </c>
      <c r="E819" s="1776" t="s">
        <v>3367</v>
      </c>
      <c r="F819" s="1776" t="s">
        <v>2313</v>
      </c>
      <c r="G819" s="1776" t="s">
        <v>22</v>
      </c>
      <c r="H819" s="1776" t="s">
        <v>22</v>
      </c>
      <c r="I819" s="1776" t="s">
        <v>852</v>
      </c>
    </row>
    <row r="820" spans="1:9" ht="11.25" customHeight="1">
      <c r="A820" s="1776" t="s">
        <v>2244</v>
      </c>
      <c r="B820" s="1776" t="s">
        <v>16</v>
      </c>
      <c r="C820" s="1776" t="s">
        <v>3386</v>
      </c>
      <c r="D820" s="1776" t="s">
        <v>3387</v>
      </c>
      <c r="E820" s="1776" t="s">
        <v>3388</v>
      </c>
      <c r="F820" s="1776" t="s">
        <v>2294</v>
      </c>
      <c r="G820" s="1776" t="s">
        <v>22</v>
      </c>
      <c r="H820" s="1776" t="s">
        <v>22</v>
      </c>
      <c r="I820" s="1776" t="s">
        <v>852</v>
      </c>
    </row>
    <row r="821" spans="1:9" ht="11.25" customHeight="1">
      <c r="A821" s="1776" t="s">
        <v>2244</v>
      </c>
      <c r="B821" s="1776" t="s">
        <v>16</v>
      </c>
      <c r="C821" s="1776" t="s">
        <v>3959</v>
      </c>
      <c r="D821" s="1776" t="s">
        <v>3960</v>
      </c>
      <c r="E821" s="1776" t="s">
        <v>3961</v>
      </c>
      <c r="F821" s="1776" t="s">
        <v>2309</v>
      </c>
      <c r="G821" s="1776" t="s">
        <v>22</v>
      </c>
      <c r="H821" s="1776" t="s">
        <v>22</v>
      </c>
      <c r="I821" s="1776" t="s">
        <v>852</v>
      </c>
    </row>
    <row r="822" spans="1:9" ht="11.25" customHeight="1">
      <c r="A822" s="1776" t="s">
        <v>2244</v>
      </c>
      <c r="B822" s="1776" t="s">
        <v>16</v>
      </c>
      <c r="C822" s="1776" t="s">
        <v>3398</v>
      </c>
      <c r="D822" s="1776" t="s">
        <v>3399</v>
      </c>
      <c r="E822" s="1776" t="s">
        <v>3400</v>
      </c>
      <c r="F822" s="1776" t="s">
        <v>2313</v>
      </c>
      <c r="G822" s="1776" t="s">
        <v>22</v>
      </c>
      <c r="H822" s="1776" t="s">
        <v>22</v>
      </c>
      <c r="I822" s="1776" t="s">
        <v>852</v>
      </c>
    </row>
    <row r="823" spans="1:9" ht="11.25" customHeight="1">
      <c r="A823" s="1776" t="s">
        <v>2244</v>
      </c>
      <c r="B823" s="1776" t="s">
        <v>16</v>
      </c>
      <c r="C823" s="1776" t="s">
        <v>3424</v>
      </c>
      <c r="D823" s="1776" t="s">
        <v>3425</v>
      </c>
      <c r="E823" s="1776" t="s">
        <v>3426</v>
      </c>
      <c r="F823" s="1776" t="s">
        <v>2276</v>
      </c>
      <c r="G823" s="1776" t="s">
        <v>22</v>
      </c>
      <c r="H823" s="1776" t="s">
        <v>22</v>
      </c>
      <c r="I823" s="1776" t="s">
        <v>852</v>
      </c>
    </row>
    <row r="824" spans="1:9" ht="11.25" customHeight="1">
      <c r="A824" s="1776" t="s">
        <v>2244</v>
      </c>
      <c r="B824" s="1776" t="s">
        <v>16</v>
      </c>
      <c r="C824" s="1776" t="s">
        <v>3962</v>
      </c>
      <c r="D824" s="1776" t="s">
        <v>3963</v>
      </c>
      <c r="E824" s="1776" t="s">
        <v>3964</v>
      </c>
      <c r="F824" s="1776" t="s">
        <v>2527</v>
      </c>
      <c r="G824" s="1776" t="s">
        <v>22</v>
      </c>
      <c r="H824" s="1776" t="s">
        <v>22</v>
      </c>
      <c r="I824" s="1776" t="s">
        <v>852</v>
      </c>
    </row>
    <row r="825" spans="1:9" ht="11.25" customHeight="1">
      <c r="A825" s="1776" t="s">
        <v>2244</v>
      </c>
      <c r="B825" s="1776" t="s">
        <v>16</v>
      </c>
      <c r="C825" s="1776" t="s">
        <v>3965</v>
      </c>
      <c r="D825" s="1776" t="s">
        <v>3966</v>
      </c>
      <c r="E825" s="1776" t="s">
        <v>3967</v>
      </c>
      <c r="F825" s="1776" t="s">
        <v>2511</v>
      </c>
      <c r="G825" s="1776" t="s">
        <v>22</v>
      </c>
      <c r="H825" s="1776" t="s">
        <v>22</v>
      </c>
      <c r="I825" s="1776" t="s">
        <v>852</v>
      </c>
    </row>
    <row r="826" spans="1:9" ht="11.25" customHeight="1">
      <c r="A826" s="1776" t="s">
        <v>2244</v>
      </c>
      <c r="B826" s="1776" t="s">
        <v>16</v>
      </c>
      <c r="C826" s="1776" t="s">
        <v>3968</v>
      </c>
      <c r="D826" s="1776" t="s">
        <v>3969</v>
      </c>
      <c r="E826" s="1776" t="s">
        <v>3970</v>
      </c>
      <c r="F826" s="1776" t="s">
        <v>2534</v>
      </c>
      <c r="G826" s="1776" t="s">
        <v>22</v>
      </c>
      <c r="H826" s="1776" t="s">
        <v>22</v>
      </c>
      <c r="I826" s="1776" t="s">
        <v>852</v>
      </c>
    </row>
    <row r="827" spans="1:9" ht="11.25" customHeight="1">
      <c r="A827" s="1776" t="s">
        <v>2244</v>
      </c>
      <c r="B827" s="1776" t="s">
        <v>16</v>
      </c>
      <c r="C827" s="1776" t="s">
        <v>3971</v>
      </c>
      <c r="D827" s="1776" t="s">
        <v>3972</v>
      </c>
      <c r="E827" s="1776" t="s">
        <v>3973</v>
      </c>
      <c r="F827" s="1776" t="s">
        <v>2309</v>
      </c>
      <c r="G827" s="1776" t="s">
        <v>22</v>
      </c>
      <c r="H827" s="1776" t="s">
        <v>22</v>
      </c>
      <c r="I827" s="1776" t="s">
        <v>852</v>
      </c>
    </row>
    <row r="828" spans="1:9" ht="11.25" customHeight="1">
      <c r="A828" s="1776" t="s">
        <v>2244</v>
      </c>
      <c r="B828" s="1776" t="s">
        <v>16</v>
      </c>
      <c r="C828" s="1776" t="s">
        <v>3974</v>
      </c>
      <c r="D828" s="1776" t="s">
        <v>3975</v>
      </c>
      <c r="E828" s="1776" t="s">
        <v>3976</v>
      </c>
      <c r="F828" s="1776" t="s">
        <v>2550</v>
      </c>
      <c r="G828" s="1776" t="s">
        <v>22</v>
      </c>
      <c r="H828" s="1776" t="s">
        <v>22</v>
      </c>
      <c r="I828" s="1776" t="s">
        <v>852</v>
      </c>
    </row>
    <row r="829" spans="1:9" ht="11.25" customHeight="1">
      <c r="A829" s="1776" t="s">
        <v>2244</v>
      </c>
      <c r="B829" s="1776" t="s">
        <v>16</v>
      </c>
      <c r="C829" s="1776" t="s">
        <v>3977</v>
      </c>
      <c r="D829" s="1776" t="s">
        <v>3978</v>
      </c>
      <c r="E829" s="1776" t="s">
        <v>3979</v>
      </c>
      <c r="F829" s="1776" t="s">
        <v>2962</v>
      </c>
      <c r="G829" s="1776" t="s">
        <v>22</v>
      </c>
      <c r="H829" s="1776" t="s">
        <v>22</v>
      </c>
      <c r="I829" s="1776" t="s">
        <v>852</v>
      </c>
    </row>
    <row r="830" spans="1:9" ht="11.25" customHeight="1">
      <c r="A830" s="1776" t="s">
        <v>2244</v>
      </c>
      <c r="B830" s="1776" t="s">
        <v>16</v>
      </c>
      <c r="C830" s="1776" t="s">
        <v>3980</v>
      </c>
      <c r="D830" s="1776" t="s">
        <v>3981</v>
      </c>
      <c r="E830" s="1776" t="s">
        <v>3982</v>
      </c>
      <c r="F830" s="1776" t="s">
        <v>2527</v>
      </c>
      <c r="G830" s="1776" t="s">
        <v>22</v>
      </c>
      <c r="H830" s="1776" t="s">
        <v>22</v>
      </c>
      <c r="I830" s="1776" t="s">
        <v>852</v>
      </c>
    </row>
    <row r="831" spans="1:9" ht="11.25" customHeight="1">
      <c r="A831" s="1776" t="s">
        <v>2244</v>
      </c>
      <c r="B831" s="1776" t="s">
        <v>16</v>
      </c>
      <c r="C831" s="1776" t="s">
        <v>3983</v>
      </c>
      <c r="D831" s="1776" t="s">
        <v>3984</v>
      </c>
      <c r="E831" s="1776" t="s">
        <v>3985</v>
      </c>
      <c r="F831" s="1776" t="s">
        <v>2639</v>
      </c>
      <c r="G831" s="1776" t="s">
        <v>22</v>
      </c>
      <c r="H831" s="1776" t="s">
        <v>22</v>
      </c>
      <c r="I831" s="1776" t="s">
        <v>852</v>
      </c>
    </row>
    <row r="832" spans="1:9" ht="11.25" customHeight="1">
      <c r="A832" s="1776" t="s">
        <v>2244</v>
      </c>
      <c r="B832" s="1776" t="s">
        <v>16</v>
      </c>
      <c r="C832" s="1776" t="s">
        <v>3543</v>
      </c>
      <c r="D832" s="1776" t="s">
        <v>3544</v>
      </c>
      <c r="E832" s="1776" t="s">
        <v>2297</v>
      </c>
      <c r="F832" s="1776" t="s">
        <v>3545</v>
      </c>
      <c r="G832" s="1776" t="s">
        <v>22</v>
      </c>
      <c r="H832" s="1776" t="s">
        <v>22</v>
      </c>
      <c r="I832" s="1776" t="s">
        <v>852</v>
      </c>
    </row>
    <row r="833" spans="1:9" ht="11.25" customHeight="1">
      <c r="A833" s="1776" t="s">
        <v>2244</v>
      </c>
      <c r="B833" s="1776" t="s">
        <v>16</v>
      </c>
      <c r="C833" s="1776" t="s">
        <v>3986</v>
      </c>
      <c r="D833" s="1776" t="s">
        <v>3987</v>
      </c>
      <c r="E833" s="1776" t="s">
        <v>3988</v>
      </c>
      <c r="F833" s="1776" t="s">
        <v>2527</v>
      </c>
      <c r="G833" s="1776" t="s">
        <v>22</v>
      </c>
      <c r="H833" s="1776" t="s">
        <v>22</v>
      </c>
      <c r="I833" s="1776" t="s">
        <v>852</v>
      </c>
    </row>
    <row r="834" spans="1:9" ht="11.25" customHeight="1">
      <c r="A834" s="1776" t="s">
        <v>2244</v>
      </c>
      <c r="B834" s="1776" t="s">
        <v>16</v>
      </c>
      <c r="C834" s="1776" t="s">
        <v>3550</v>
      </c>
      <c r="D834" s="1776" t="s">
        <v>3551</v>
      </c>
      <c r="E834" s="1776" t="s">
        <v>3552</v>
      </c>
      <c r="F834" s="1776" t="s">
        <v>2679</v>
      </c>
      <c r="G834" s="1776" t="s">
        <v>22</v>
      </c>
      <c r="H834" s="1776" t="s">
        <v>22</v>
      </c>
      <c r="I834" s="1776" t="s">
        <v>852</v>
      </c>
    </row>
    <row r="835" spans="1:9" ht="11.25" customHeight="1">
      <c r="A835" s="1776" t="s">
        <v>2244</v>
      </c>
      <c r="B835" s="1776" t="s">
        <v>16</v>
      </c>
      <c r="C835" s="1776" t="s">
        <v>3553</v>
      </c>
      <c r="D835" s="1776" t="s">
        <v>3554</v>
      </c>
      <c r="E835" s="1776" t="s">
        <v>3555</v>
      </c>
      <c r="F835" s="1776" t="s">
        <v>2323</v>
      </c>
      <c r="G835" s="1776" t="s">
        <v>22</v>
      </c>
      <c r="H835" s="1776" t="s">
        <v>22</v>
      </c>
      <c r="I835" s="1776" t="s">
        <v>852</v>
      </c>
    </row>
    <row r="836" spans="1:9" ht="11.25" customHeight="1">
      <c r="A836" s="1776" t="s">
        <v>2244</v>
      </c>
      <c r="B836" s="1776" t="s">
        <v>16</v>
      </c>
      <c r="C836" s="1776" t="s">
        <v>3556</v>
      </c>
      <c r="D836" s="1776" t="s">
        <v>3557</v>
      </c>
      <c r="E836" s="1776" t="s">
        <v>3558</v>
      </c>
      <c r="F836" s="1776" t="s">
        <v>2302</v>
      </c>
      <c r="G836" s="1776" t="s">
        <v>22</v>
      </c>
      <c r="H836" s="1776" t="s">
        <v>22</v>
      </c>
      <c r="I836" s="1776" t="s">
        <v>852</v>
      </c>
    </row>
    <row r="837" spans="1:9" ht="11.25" customHeight="1">
      <c r="A837" s="1776" t="s">
        <v>2244</v>
      </c>
      <c r="B837" s="1776" t="s">
        <v>16</v>
      </c>
      <c r="C837" s="1776" t="s">
        <v>3563</v>
      </c>
      <c r="D837" s="1776" t="s">
        <v>3564</v>
      </c>
      <c r="E837" s="1776" t="s">
        <v>3565</v>
      </c>
      <c r="F837" s="1776" t="s">
        <v>2432</v>
      </c>
      <c r="G837" s="1776" t="s">
        <v>22</v>
      </c>
      <c r="H837" s="1776" t="s">
        <v>22</v>
      </c>
      <c r="I837" s="1776" t="s">
        <v>852</v>
      </c>
    </row>
    <row r="838" spans="1:9" ht="11.25" customHeight="1">
      <c r="A838" s="1776" t="s">
        <v>2244</v>
      </c>
      <c r="B838" s="1776" t="s">
        <v>16</v>
      </c>
      <c r="C838" s="1776" t="s">
        <v>3575</v>
      </c>
      <c r="D838" s="1776" t="s">
        <v>3576</v>
      </c>
      <c r="E838" s="1776" t="s">
        <v>3577</v>
      </c>
      <c r="F838" s="1776" t="s">
        <v>2758</v>
      </c>
      <c r="G838" s="1776" t="s">
        <v>22</v>
      </c>
      <c r="H838" s="1776" t="s">
        <v>22</v>
      </c>
      <c r="I838" s="1776" t="s">
        <v>852</v>
      </c>
    </row>
    <row r="839" spans="1:9" ht="11.25" customHeight="1">
      <c r="A839" s="1776" t="s">
        <v>2244</v>
      </c>
      <c r="B839" s="1776" t="s">
        <v>16</v>
      </c>
      <c r="C839" s="1776" t="s">
        <v>3584</v>
      </c>
      <c r="D839" s="1776" t="s">
        <v>3585</v>
      </c>
      <c r="E839" s="1776" t="s">
        <v>3586</v>
      </c>
      <c r="F839" s="1776" t="s">
        <v>2446</v>
      </c>
      <c r="G839" s="1776" t="s">
        <v>22</v>
      </c>
      <c r="H839" s="1776" t="s">
        <v>22</v>
      </c>
      <c r="I839" s="1776" t="s">
        <v>852</v>
      </c>
    </row>
    <row r="840" spans="1:9" ht="11.25" customHeight="1">
      <c r="A840" s="1776" t="s">
        <v>2244</v>
      </c>
      <c r="B840" s="1776" t="s">
        <v>16</v>
      </c>
      <c r="C840" s="1776" t="s">
        <v>3587</v>
      </c>
      <c r="D840" s="1776" t="s">
        <v>3588</v>
      </c>
      <c r="E840" s="1776" t="s">
        <v>3589</v>
      </c>
      <c r="F840" s="1776" t="s">
        <v>2690</v>
      </c>
      <c r="G840" s="1776" t="s">
        <v>22</v>
      </c>
      <c r="H840" s="1776" t="s">
        <v>22</v>
      </c>
      <c r="I840" s="1776" t="s">
        <v>852</v>
      </c>
    </row>
    <row r="841" spans="1:9" ht="11.25" customHeight="1">
      <c r="A841" s="1776" t="s">
        <v>2244</v>
      </c>
      <c r="B841" s="1776" t="s">
        <v>16</v>
      </c>
      <c r="C841" s="1776" t="s">
        <v>22</v>
      </c>
      <c r="D841" s="1776" t="s">
        <v>3590</v>
      </c>
      <c r="E841" s="1776" t="s">
        <v>3591</v>
      </c>
      <c r="F841" s="1776" t="s">
        <v>2252</v>
      </c>
      <c r="G841" s="1776" t="s">
        <v>22</v>
      </c>
      <c r="H841" s="1776" t="s">
        <v>22</v>
      </c>
      <c r="I841" s="1776" t="s">
        <v>852</v>
      </c>
    </row>
    <row r="842" spans="1:9" ht="11.25" customHeight="1">
      <c r="A842" s="1776" t="s">
        <v>2244</v>
      </c>
      <c r="B842" s="1776" t="s">
        <v>16</v>
      </c>
      <c r="C842" s="1776" t="s">
        <v>3989</v>
      </c>
      <c r="D842" s="1776" t="s">
        <v>3990</v>
      </c>
      <c r="E842" s="1776" t="s">
        <v>3991</v>
      </c>
      <c r="F842" s="1776" t="s">
        <v>2887</v>
      </c>
      <c r="G842" s="1776" t="s">
        <v>22</v>
      </c>
      <c r="H842" s="1776" t="s">
        <v>22</v>
      </c>
      <c r="I842" s="1776" t="s">
        <v>852</v>
      </c>
    </row>
    <row r="843" spans="1:9" ht="11.25" customHeight="1">
      <c r="A843" s="1776" t="s">
        <v>2244</v>
      </c>
      <c r="B843" s="1776" t="s">
        <v>16</v>
      </c>
      <c r="C843" s="1776" t="s">
        <v>3592</v>
      </c>
      <c r="D843" s="1776" t="s">
        <v>3593</v>
      </c>
      <c r="E843" s="1776" t="s">
        <v>3594</v>
      </c>
      <c r="F843" s="1776" t="s">
        <v>2930</v>
      </c>
      <c r="G843" s="1776" t="s">
        <v>22</v>
      </c>
      <c r="H843" s="1776" t="s">
        <v>22</v>
      </c>
      <c r="I843" s="1776" t="s">
        <v>852</v>
      </c>
    </row>
    <row r="844" spans="1:9" ht="11.25" customHeight="1">
      <c r="A844" s="1776" t="s">
        <v>2244</v>
      </c>
      <c r="B844" s="1776" t="s">
        <v>16</v>
      </c>
      <c r="C844" s="1776" t="s">
        <v>3595</v>
      </c>
      <c r="D844" s="1776" t="s">
        <v>3596</v>
      </c>
      <c r="E844" s="1776" t="s">
        <v>3597</v>
      </c>
      <c r="F844" s="1776" t="s">
        <v>2491</v>
      </c>
      <c r="G844" s="1776" t="s">
        <v>3598</v>
      </c>
      <c r="H844" s="1776" t="s">
        <v>22</v>
      </c>
      <c r="I844" s="1776" t="s">
        <v>852</v>
      </c>
    </row>
    <row r="845" spans="1:9" ht="11.25" customHeight="1">
      <c r="A845" s="1776" t="s">
        <v>2244</v>
      </c>
      <c r="B845" s="1776" t="s">
        <v>16</v>
      </c>
      <c r="C845" s="1776" t="s">
        <v>3992</v>
      </c>
      <c r="D845" s="1776" t="s">
        <v>3993</v>
      </c>
      <c r="E845" s="1776" t="s">
        <v>3994</v>
      </c>
      <c r="F845" s="1776" t="s">
        <v>2690</v>
      </c>
      <c r="G845" s="1776" t="s">
        <v>22</v>
      </c>
      <c r="H845" s="1776" t="s">
        <v>22</v>
      </c>
      <c r="I845" s="1776" t="s">
        <v>852</v>
      </c>
    </row>
    <row r="846" spans="1:9" ht="11.25" customHeight="1">
      <c r="A846" s="1776" t="s">
        <v>2244</v>
      </c>
      <c r="B846" s="1776" t="s">
        <v>16</v>
      </c>
      <c r="C846" s="1776" t="s">
        <v>3599</v>
      </c>
      <c r="D846" s="1776" t="s">
        <v>3600</v>
      </c>
      <c r="E846" s="1776" t="s">
        <v>3601</v>
      </c>
      <c r="F846" s="1776" t="s">
        <v>2491</v>
      </c>
      <c r="G846" s="1776" t="s">
        <v>22</v>
      </c>
      <c r="H846" s="1776" t="s">
        <v>22</v>
      </c>
      <c r="I846" s="1776" t="s">
        <v>852</v>
      </c>
    </row>
    <row r="847" spans="1:9" ht="11.25" customHeight="1">
      <c r="A847" s="1776" t="s">
        <v>2244</v>
      </c>
      <c r="B847" s="1776" t="s">
        <v>16</v>
      </c>
      <c r="C847" s="1776" t="s">
        <v>3995</v>
      </c>
      <c r="D847" s="1776" t="s">
        <v>3996</v>
      </c>
      <c r="E847" s="1776" t="s">
        <v>3997</v>
      </c>
      <c r="F847" s="1776" t="s">
        <v>3070</v>
      </c>
      <c r="G847" s="1776" t="s">
        <v>22</v>
      </c>
      <c r="H847" s="1776" t="s">
        <v>22</v>
      </c>
      <c r="I847" s="1776" t="s">
        <v>852</v>
      </c>
    </row>
    <row r="848" spans="1:9" ht="11.25" customHeight="1">
      <c r="A848" s="1776" t="s">
        <v>2244</v>
      </c>
      <c r="B848" s="1776" t="s">
        <v>16</v>
      </c>
      <c r="C848" s="1776" t="s">
        <v>3611</v>
      </c>
      <c r="D848" s="1776" t="s">
        <v>3612</v>
      </c>
      <c r="E848" s="1776" t="s">
        <v>3613</v>
      </c>
      <c r="F848" s="1776" t="s">
        <v>3545</v>
      </c>
      <c r="G848" s="1776" t="s">
        <v>22</v>
      </c>
      <c r="H848" s="1776" t="s">
        <v>22</v>
      </c>
      <c r="I848" s="1776" t="s">
        <v>852</v>
      </c>
    </row>
    <row r="849" spans="1:9" ht="11.25" customHeight="1">
      <c r="A849" s="1776" t="s">
        <v>2244</v>
      </c>
      <c r="B849" s="1776" t="s">
        <v>16</v>
      </c>
      <c r="C849" s="1776" t="s">
        <v>3614</v>
      </c>
      <c r="D849" s="1776" t="s">
        <v>3612</v>
      </c>
      <c r="E849" s="1776" t="s">
        <v>3613</v>
      </c>
      <c r="F849" s="1776" t="s">
        <v>2428</v>
      </c>
      <c r="G849" s="1776" t="s">
        <v>22</v>
      </c>
      <c r="H849" s="1776" t="s">
        <v>22</v>
      </c>
      <c r="I849" s="1776" t="s">
        <v>852</v>
      </c>
    </row>
    <row r="850" spans="1:9" ht="11.25" customHeight="1">
      <c r="A850" s="1776" t="s">
        <v>2244</v>
      </c>
      <c r="B850" s="1776" t="s">
        <v>16</v>
      </c>
      <c r="C850" s="1776" t="s">
        <v>3998</v>
      </c>
      <c r="D850" s="1776" t="s">
        <v>3999</v>
      </c>
      <c r="E850" s="1776" t="s">
        <v>4000</v>
      </c>
      <c r="F850" s="1776" t="s">
        <v>2294</v>
      </c>
      <c r="G850" s="1776" t="s">
        <v>22</v>
      </c>
      <c r="H850" s="1776" t="s">
        <v>22</v>
      </c>
      <c r="I850" s="1776" t="s">
        <v>852</v>
      </c>
    </row>
    <row r="851" spans="1:9" ht="11.25" customHeight="1">
      <c r="A851" s="1776" t="s">
        <v>2244</v>
      </c>
      <c r="B851" s="1776" t="s">
        <v>16</v>
      </c>
      <c r="C851" s="1776" t="s">
        <v>4001</v>
      </c>
      <c r="D851" s="1776" t="s">
        <v>4002</v>
      </c>
      <c r="E851" s="1776" t="s">
        <v>4003</v>
      </c>
      <c r="F851" s="1776" t="s">
        <v>2962</v>
      </c>
      <c r="G851" s="1776" t="s">
        <v>22</v>
      </c>
      <c r="H851" s="1776" t="s">
        <v>22</v>
      </c>
      <c r="I851" s="1776" t="s">
        <v>852</v>
      </c>
    </row>
    <row r="852" spans="1:9" ht="11.25" customHeight="1">
      <c r="A852" s="1776" t="s">
        <v>2244</v>
      </c>
      <c r="B852" s="1776" t="s">
        <v>16</v>
      </c>
      <c r="C852" s="1776" t="s">
        <v>3622</v>
      </c>
      <c r="D852" s="1776" t="s">
        <v>3623</v>
      </c>
      <c r="E852" s="1776" t="s">
        <v>3624</v>
      </c>
      <c r="F852" s="1776" t="s">
        <v>2309</v>
      </c>
      <c r="G852" s="1776" t="s">
        <v>22</v>
      </c>
      <c r="H852" s="1776" t="s">
        <v>22</v>
      </c>
      <c r="I852" s="1776" t="s">
        <v>852</v>
      </c>
    </row>
    <row r="853" spans="1:9" ht="11.25" customHeight="1">
      <c r="A853" s="1776" t="s">
        <v>2244</v>
      </c>
      <c r="B853" s="1776" t="s">
        <v>16</v>
      </c>
      <c r="C853" s="1776" t="s">
        <v>3636</v>
      </c>
      <c r="D853" s="1776" t="s">
        <v>3637</v>
      </c>
      <c r="E853" s="1776" t="s">
        <v>3638</v>
      </c>
      <c r="F853" s="1776" t="s">
        <v>2701</v>
      </c>
      <c r="G853" s="1776" t="s">
        <v>22</v>
      </c>
      <c r="H853" s="1776" t="s">
        <v>22</v>
      </c>
      <c r="I853" s="1776" t="s">
        <v>852</v>
      </c>
    </row>
    <row r="854" spans="1:9" ht="11.25" customHeight="1">
      <c r="A854" s="1776" t="s">
        <v>2244</v>
      </c>
      <c r="B854" s="1776" t="s">
        <v>16</v>
      </c>
      <c r="C854" s="1776" t="s">
        <v>3642</v>
      </c>
      <c r="D854" s="1776" t="s">
        <v>3643</v>
      </c>
      <c r="E854" s="1776" t="s">
        <v>3644</v>
      </c>
      <c r="F854" s="1776" t="s">
        <v>2519</v>
      </c>
      <c r="G854" s="1776" t="s">
        <v>22</v>
      </c>
      <c r="H854" s="1776" t="s">
        <v>22</v>
      </c>
      <c r="I854" s="1776" t="s">
        <v>852</v>
      </c>
    </row>
    <row r="855" spans="1:9" ht="11.25" customHeight="1">
      <c r="A855" s="1776" t="s">
        <v>2244</v>
      </c>
      <c r="B855" s="1776" t="s">
        <v>16</v>
      </c>
      <c r="C855" s="1776" t="s">
        <v>3648</v>
      </c>
      <c r="D855" s="1776" t="s">
        <v>3649</v>
      </c>
      <c r="E855" s="1776" t="s">
        <v>3650</v>
      </c>
      <c r="F855" s="1776" t="s">
        <v>2631</v>
      </c>
      <c r="G855" s="1776" t="s">
        <v>3651</v>
      </c>
      <c r="H855" s="1776" t="s">
        <v>22</v>
      </c>
      <c r="I855" s="1776" t="s">
        <v>852</v>
      </c>
    </row>
    <row r="856" spans="1:9" ht="11.25" customHeight="1">
      <c r="A856" s="1776" t="s">
        <v>2244</v>
      </c>
      <c r="B856" s="1776" t="s">
        <v>16</v>
      </c>
      <c r="C856" s="1776" t="s">
        <v>3655</v>
      </c>
      <c r="D856" s="1776" t="s">
        <v>3656</v>
      </c>
      <c r="E856" s="1776" t="s">
        <v>3657</v>
      </c>
      <c r="F856" s="1776" t="s">
        <v>3302</v>
      </c>
      <c r="G856" s="1776" t="s">
        <v>22</v>
      </c>
      <c r="H856" s="1776" t="s">
        <v>22</v>
      </c>
      <c r="I856" s="1776" t="s">
        <v>852</v>
      </c>
    </row>
    <row r="857" spans="1:9" ht="11.25" customHeight="1">
      <c r="A857" s="1776" t="s">
        <v>2244</v>
      </c>
      <c r="B857" s="1776" t="s">
        <v>16</v>
      </c>
      <c r="C857" s="1776" t="s">
        <v>3668</v>
      </c>
      <c r="D857" s="1776" t="s">
        <v>3669</v>
      </c>
      <c r="E857" s="1776" t="s">
        <v>3670</v>
      </c>
      <c r="F857" s="1776" t="s">
        <v>3671</v>
      </c>
      <c r="G857" s="1776" t="s">
        <v>22</v>
      </c>
      <c r="H857" s="1776" t="s">
        <v>22</v>
      </c>
      <c r="I857" s="1776" t="s">
        <v>852</v>
      </c>
    </row>
    <row r="858" spans="1:9" ht="11.25" customHeight="1">
      <c r="A858" s="1776" t="s">
        <v>2244</v>
      </c>
      <c r="B858" s="1776" t="s">
        <v>16</v>
      </c>
      <c r="C858" s="1776" t="s">
        <v>3678</v>
      </c>
      <c r="D858" s="1776" t="s">
        <v>3679</v>
      </c>
      <c r="E858" s="1776" t="s">
        <v>3680</v>
      </c>
      <c r="F858" s="1776" t="s">
        <v>3681</v>
      </c>
      <c r="G858" s="1776" t="s">
        <v>22</v>
      </c>
      <c r="H858" s="1776" t="s">
        <v>22</v>
      </c>
      <c r="I858" s="1776" t="s">
        <v>905</v>
      </c>
    </row>
    <row r="859" spans="1:9" ht="11.25" customHeight="1">
      <c r="A859" s="1776" t="s">
        <v>2244</v>
      </c>
      <c r="B859" s="1776" t="s">
        <v>16</v>
      </c>
      <c r="C859" s="1776" t="s">
        <v>2273</v>
      </c>
      <c r="D859" s="1776" t="s">
        <v>2274</v>
      </c>
      <c r="E859" s="1776" t="s">
        <v>2275</v>
      </c>
      <c r="F859" s="1776" t="s">
        <v>2276</v>
      </c>
      <c r="G859" s="1776" t="s">
        <v>22</v>
      </c>
      <c r="H859" s="1776" t="s">
        <v>22</v>
      </c>
      <c r="I859" s="1776" t="s">
        <v>905</v>
      </c>
    </row>
    <row r="860" spans="1:9" ht="11.25" customHeight="1">
      <c r="A860" s="1776" t="s">
        <v>2244</v>
      </c>
      <c r="B860" s="1776" t="s">
        <v>16</v>
      </c>
      <c r="C860" s="1776" t="s">
        <v>3682</v>
      </c>
      <c r="D860" s="1776" t="s">
        <v>3683</v>
      </c>
      <c r="E860" s="1776" t="s">
        <v>3684</v>
      </c>
      <c r="F860" s="1776" t="s">
        <v>2276</v>
      </c>
      <c r="G860" s="1776" t="s">
        <v>22</v>
      </c>
      <c r="H860" s="1776" t="s">
        <v>22</v>
      </c>
      <c r="I860" s="1776" t="s">
        <v>905</v>
      </c>
    </row>
    <row r="861" spans="1:9" ht="11.25" customHeight="1">
      <c r="A861" s="1776" t="s">
        <v>2244</v>
      </c>
      <c r="B861" s="1776" t="s">
        <v>16</v>
      </c>
      <c r="C861" s="1776" t="s">
        <v>2277</v>
      </c>
      <c r="D861" s="1776" t="s">
        <v>2278</v>
      </c>
      <c r="E861" s="1776" t="s">
        <v>2279</v>
      </c>
      <c r="F861" s="1776" t="s">
        <v>2280</v>
      </c>
      <c r="G861" s="1776" t="s">
        <v>22</v>
      </c>
      <c r="H861" s="1776" t="s">
        <v>22</v>
      </c>
      <c r="I861" s="1776" t="s">
        <v>905</v>
      </c>
    </row>
    <row r="862" spans="1:9" ht="11.25" customHeight="1">
      <c r="A862" s="1776" t="s">
        <v>2244</v>
      </c>
      <c r="B862" s="1776" t="s">
        <v>16</v>
      </c>
      <c r="C862" s="1776" t="s">
        <v>3685</v>
      </c>
      <c r="D862" s="1776" t="s">
        <v>3686</v>
      </c>
      <c r="E862" s="1776" t="s">
        <v>3687</v>
      </c>
      <c r="F862" s="1776" t="s">
        <v>2280</v>
      </c>
      <c r="G862" s="1776" t="s">
        <v>22</v>
      </c>
      <c r="H862" s="1776" t="s">
        <v>22</v>
      </c>
      <c r="I862" s="1776" t="s">
        <v>905</v>
      </c>
    </row>
    <row r="863" spans="1:9" ht="11.25" customHeight="1">
      <c r="A863" s="1776" t="s">
        <v>2244</v>
      </c>
      <c r="B863" s="1776" t="s">
        <v>16</v>
      </c>
      <c r="C863" s="1776" t="s">
        <v>2291</v>
      </c>
      <c r="D863" s="1776" t="s">
        <v>2292</v>
      </c>
      <c r="E863" s="1776" t="s">
        <v>2293</v>
      </c>
      <c r="F863" s="1776" t="s">
        <v>2294</v>
      </c>
      <c r="G863" s="1776" t="s">
        <v>22</v>
      </c>
      <c r="H863" s="1776" t="s">
        <v>22</v>
      </c>
      <c r="I863" s="1776" t="s">
        <v>905</v>
      </c>
    </row>
    <row r="864" spans="1:9" ht="11.25" customHeight="1">
      <c r="A864" s="1776" t="s">
        <v>2244</v>
      </c>
      <c r="B864" s="1776" t="s">
        <v>16</v>
      </c>
      <c r="C864" s="1776" t="s">
        <v>3688</v>
      </c>
      <c r="D864" s="1776" t="s">
        <v>2296</v>
      </c>
      <c r="E864" s="1776" t="s">
        <v>2297</v>
      </c>
      <c r="F864" s="1776" t="s">
        <v>3689</v>
      </c>
      <c r="G864" s="1776" t="s">
        <v>3690</v>
      </c>
      <c r="H864" s="1776" t="s">
        <v>22</v>
      </c>
      <c r="I864" s="1776" t="s">
        <v>905</v>
      </c>
    </row>
    <row r="865" spans="1:9" ht="11.25" customHeight="1">
      <c r="A865" s="1776" t="s">
        <v>2244</v>
      </c>
      <c r="B865" s="1776" t="s">
        <v>16</v>
      </c>
      <c r="C865" s="1776" t="s">
        <v>3691</v>
      </c>
      <c r="D865" s="1776" t="s">
        <v>3692</v>
      </c>
      <c r="E865" s="1776" t="s">
        <v>3693</v>
      </c>
      <c r="F865" s="1776" t="s">
        <v>2309</v>
      </c>
      <c r="G865" s="1776" t="s">
        <v>22</v>
      </c>
      <c r="H865" s="1776" t="s">
        <v>22</v>
      </c>
      <c r="I865" s="1776" t="s">
        <v>905</v>
      </c>
    </row>
    <row r="866" spans="1:9" ht="11.25" customHeight="1">
      <c r="A866" s="1776" t="s">
        <v>2244</v>
      </c>
      <c r="B866" s="1776" t="s">
        <v>16</v>
      </c>
      <c r="C866" s="1776" t="s">
        <v>2303</v>
      </c>
      <c r="D866" s="1776" t="s">
        <v>2304</v>
      </c>
      <c r="E866" s="1776" t="s">
        <v>2305</v>
      </c>
      <c r="F866" s="1776" t="s">
        <v>2280</v>
      </c>
      <c r="G866" s="1776" t="s">
        <v>22</v>
      </c>
      <c r="H866" s="1776" t="s">
        <v>22</v>
      </c>
      <c r="I866" s="1776" t="s">
        <v>905</v>
      </c>
    </row>
    <row r="867" spans="1:9" ht="11.25" customHeight="1">
      <c r="A867" s="1776" t="s">
        <v>2244</v>
      </c>
      <c r="B867" s="1776" t="s">
        <v>16</v>
      </c>
      <c r="C867" s="1776" t="s">
        <v>2306</v>
      </c>
      <c r="D867" s="1776" t="s">
        <v>2307</v>
      </c>
      <c r="E867" s="1776" t="s">
        <v>2308</v>
      </c>
      <c r="F867" s="1776" t="s">
        <v>2309</v>
      </c>
      <c r="G867" s="1776" t="s">
        <v>22</v>
      </c>
      <c r="H867" s="1776" t="s">
        <v>22</v>
      </c>
      <c r="I867" s="1776" t="s">
        <v>905</v>
      </c>
    </row>
    <row r="868" spans="1:9" ht="11.25" customHeight="1">
      <c r="A868" s="1776" t="s">
        <v>2244</v>
      </c>
      <c r="B868" s="1776" t="s">
        <v>16</v>
      </c>
      <c r="C868" s="1776" t="s">
        <v>2314</v>
      </c>
      <c r="D868" s="1776" t="s">
        <v>2315</v>
      </c>
      <c r="E868" s="1776" t="s">
        <v>2316</v>
      </c>
      <c r="F868" s="1776" t="s">
        <v>2309</v>
      </c>
      <c r="G868" s="1776" t="s">
        <v>22</v>
      </c>
      <c r="H868" s="1776" t="s">
        <v>22</v>
      </c>
      <c r="I868" s="1776" t="s">
        <v>905</v>
      </c>
    </row>
    <row r="869" spans="1:9" ht="11.25" customHeight="1">
      <c r="A869" s="1776" t="s">
        <v>2244</v>
      </c>
      <c r="B869" s="1776" t="s">
        <v>16</v>
      </c>
      <c r="C869" s="1776" t="s">
        <v>2317</v>
      </c>
      <c r="D869" s="1776" t="s">
        <v>2318</v>
      </c>
      <c r="E869" s="1776" t="s">
        <v>2319</v>
      </c>
      <c r="F869" s="1776" t="s">
        <v>2276</v>
      </c>
      <c r="G869" s="1776" t="s">
        <v>22</v>
      </c>
      <c r="H869" s="1776" t="s">
        <v>22</v>
      </c>
      <c r="I869" s="1776" t="s">
        <v>905</v>
      </c>
    </row>
    <row r="870" spans="1:9" ht="11.25" customHeight="1">
      <c r="A870" s="1776" t="s">
        <v>2244</v>
      </c>
      <c r="B870" s="1776" t="s">
        <v>16</v>
      </c>
      <c r="C870" s="1776" t="s">
        <v>2320</v>
      </c>
      <c r="D870" s="1776" t="s">
        <v>2321</v>
      </c>
      <c r="E870" s="1776" t="s">
        <v>2322</v>
      </c>
      <c r="F870" s="1776" t="s">
        <v>2323</v>
      </c>
      <c r="G870" s="1776" t="s">
        <v>22</v>
      </c>
      <c r="H870" s="1776" t="s">
        <v>22</v>
      </c>
      <c r="I870" s="1776" t="s">
        <v>905</v>
      </c>
    </row>
    <row r="871" spans="1:9" ht="11.25" customHeight="1">
      <c r="A871" s="1776" t="s">
        <v>2244</v>
      </c>
      <c r="B871" s="1776" t="s">
        <v>16</v>
      </c>
      <c r="C871" s="1776" t="s">
        <v>3694</v>
      </c>
      <c r="D871" s="1776" t="s">
        <v>3695</v>
      </c>
      <c r="E871" s="1776" t="s">
        <v>3696</v>
      </c>
      <c r="F871" s="1776" t="s">
        <v>2473</v>
      </c>
      <c r="G871" s="1776" t="s">
        <v>22</v>
      </c>
      <c r="H871" s="1776" t="s">
        <v>22</v>
      </c>
      <c r="I871" s="1776" t="s">
        <v>905</v>
      </c>
    </row>
    <row r="872" spans="1:9" ht="11.25" customHeight="1">
      <c r="A872" s="1776" t="s">
        <v>2244</v>
      </c>
      <c r="B872" s="1776" t="s">
        <v>16</v>
      </c>
      <c r="C872" s="1776" t="s">
        <v>3697</v>
      </c>
      <c r="D872" s="1776" t="s">
        <v>3698</v>
      </c>
      <c r="E872" s="1776" t="s">
        <v>3699</v>
      </c>
      <c r="F872" s="1776" t="s">
        <v>2368</v>
      </c>
      <c r="G872" s="1776" t="s">
        <v>22</v>
      </c>
      <c r="H872" s="1776" t="s">
        <v>22</v>
      </c>
      <c r="I872" s="1776" t="s">
        <v>905</v>
      </c>
    </row>
    <row r="873" spans="1:9" ht="11.25" customHeight="1">
      <c r="A873" s="1776" t="s">
        <v>2244</v>
      </c>
      <c r="B873" s="1776" t="s">
        <v>16</v>
      </c>
      <c r="C873" s="1776" t="s">
        <v>2328</v>
      </c>
      <c r="D873" s="1776" t="s">
        <v>2329</v>
      </c>
      <c r="E873" s="1776" t="s">
        <v>2330</v>
      </c>
      <c r="F873" s="1776" t="s">
        <v>2309</v>
      </c>
      <c r="G873" s="1776" t="s">
        <v>22</v>
      </c>
      <c r="H873" s="1776" t="s">
        <v>22</v>
      </c>
      <c r="I873" s="1776" t="s">
        <v>905</v>
      </c>
    </row>
    <row r="874" spans="1:9" ht="11.25" customHeight="1">
      <c r="A874" s="1776" t="s">
        <v>2244</v>
      </c>
      <c r="B874" s="1776" t="s">
        <v>16</v>
      </c>
      <c r="C874" s="1776" t="s">
        <v>2338</v>
      </c>
      <c r="D874" s="1776" t="s">
        <v>2339</v>
      </c>
      <c r="E874" s="1776" t="s">
        <v>2340</v>
      </c>
      <c r="F874" s="1776" t="s">
        <v>2276</v>
      </c>
      <c r="G874" s="1776" t="s">
        <v>22</v>
      </c>
      <c r="H874" s="1776" t="s">
        <v>22</v>
      </c>
      <c r="I874" s="1776" t="s">
        <v>905</v>
      </c>
    </row>
    <row r="875" spans="1:9" ht="11.25" customHeight="1">
      <c r="A875" s="1776" t="s">
        <v>2244</v>
      </c>
      <c r="B875" s="1776" t="s">
        <v>16</v>
      </c>
      <c r="C875" s="1776" t="s">
        <v>2341</v>
      </c>
      <c r="D875" s="1776" t="s">
        <v>2342</v>
      </c>
      <c r="E875" s="1776" t="s">
        <v>2343</v>
      </c>
      <c r="F875" s="1776" t="s">
        <v>2344</v>
      </c>
      <c r="G875" s="1776" t="s">
        <v>2345</v>
      </c>
      <c r="H875" s="1776" t="s">
        <v>22</v>
      </c>
      <c r="I875" s="1776" t="s">
        <v>905</v>
      </c>
    </row>
    <row r="876" spans="1:9" ht="11.25" customHeight="1">
      <c r="A876" s="1776" t="s">
        <v>2244</v>
      </c>
      <c r="B876" s="1776" t="s">
        <v>16</v>
      </c>
      <c r="C876" s="1776" t="s">
        <v>2356</v>
      </c>
      <c r="D876" s="1776" t="s">
        <v>2357</v>
      </c>
      <c r="E876" s="1776" t="s">
        <v>2358</v>
      </c>
      <c r="F876" s="1776" t="s">
        <v>2287</v>
      </c>
      <c r="G876" s="1776" t="s">
        <v>22</v>
      </c>
      <c r="H876" s="1776" t="s">
        <v>22</v>
      </c>
      <c r="I876" s="1776" t="s">
        <v>905</v>
      </c>
    </row>
    <row r="877" spans="1:9" ht="11.25" customHeight="1">
      <c r="A877" s="1776" t="s">
        <v>2244</v>
      </c>
      <c r="B877" s="1776" t="s">
        <v>16</v>
      </c>
      <c r="C877" s="1776" t="s">
        <v>2359</v>
      </c>
      <c r="D877" s="1776" t="s">
        <v>2360</v>
      </c>
      <c r="E877" s="1776" t="s">
        <v>2361</v>
      </c>
      <c r="F877" s="1776" t="s">
        <v>2313</v>
      </c>
      <c r="G877" s="1776" t="s">
        <v>22</v>
      </c>
      <c r="H877" s="1776" t="s">
        <v>22</v>
      </c>
      <c r="I877" s="1776" t="s">
        <v>905</v>
      </c>
    </row>
    <row r="878" spans="1:9" ht="11.25" customHeight="1">
      <c r="A878" s="1776" t="s">
        <v>2244</v>
      </c>
      <c r="B878" s="1776" t="s">
        <v>16</v>
      </c>
      <c r="C878" s="1776" t="s">
        <v>2365</v>
      </c>
      <c r="D878" s="1776" t="s">
        <v>2366</v>
      </c>
      <c r="E878" s="1776" t="s">
        <v>2367</v>
      </c>
      <c r="F878" s="1776" t="s">
        <v>2368</v>
      </c>
      <c r="G878" s="1776" t="s">
        <v>22</v>
      </c>
      <c r="H878" s="1776" t="s">
        <v>22</v>
      </c>
      <c r="I878" s="1776" t="s">
        <v>905</v>
      </c>
    </row>
    <row r="879" spans="1:9" ht="11.25" customHeight="1">
      <c r="A879" s="1776" t="s">
        <v>2244</v>
      </c>
      <c r="B879" s="1776" t="s">
        <v>16</v>
      </c>
      <c r="C879" s="1776" t="s">
        <v>2369</v>
      </c>
      <c r="D879" s="1776" t="s">
        <v>2370</v>
      </c>
      <c r="E879" s="1776" t="s">
        <v>2371</v>
      </c>
      <c r="F879" s="1776" t="s">
        <v>2372</v>
      </c>
      <c r="G879" s="1776" t="s">
        <v>22</v>
      </c>
      <c r="H879" s="1776" t="s">
        <v>22</v>
      </c>
      <c r="I879" s="1776" t="s">
        <v>905</v>
      </c>
    </row>
    <row r="880" spans="1:9" ht="11.25" customHeight="1">
      <c r="A880" s="1776" t="s">
        <v>2244</v>
      </c>
      <c r="B880" s="1776" t="s">
        <v>16</v>
      </c>
      <c r="C880" s="1776" t="s">
        <v>3700</v>
      </c>
      <c r="D880" s="1776" t="s">
        <v>3701</v>
      </c>
      <c r="E880" s="1776" t="s">
        <v>3702</v>
      </c>
      <c r="F880" s="1776" t="s">
        <v>2257</v>
      </c>
      <c r="G880" s="1776" t="s">
        <v>22</v>
      </c>
      <c r="H880" s="1776" t="s">
        <v>22</v>
      </c>
      <c r="I880" s="1776" t="s">
        <v>905</v>
      </c>
    </row>
    <row r="881" spans="1:9" ht="11.25" customHeight="1">
      <c r="A881" s="1776" t="s">
        <v>2244</v>
      </c>
      <c r="B881" s="1776" t="s">
        <v>16</v>
      </c>
      <c r="C881" s="1776" t="s">
        <v>2387</v>
      </c>
      <c r="D881" s="1776" t="s">
        <v>2388</v>
      </c>
      <c r="E881" s="1776" t="s">
        <v>2386</v>
      </c>
      <c r="F881" s="1776" t="s">
        <v>2389</v>
      </c>
      <c r="G881" s="1776" t="s">
        <v>22</v>
      </c>
      <c r="H881" s="1776" t="s">
        <v>22</v>
      </c>
      <c r="I881" s="1776" t="s">
        <v>905</v>
      </c>
    </row>
    <row r="882" spans="1:9" ht="11.25" customHeight="1">
      <c r="A882" s="1776" t="s">
        <v>2244</v>
      </c>
      <c r="B882" s="1776" t="s">
        <v>16</v>
      </c>
      <c r="C882" s="1776" t="s">
        <v>2396</v>
      </c>
      <c r="D882" s="1776" t="s">
        <v>2397</v>
      </c>
      <c r="E882" s="1776" t="s">
        <v>2386</v>
      </c>
      <c r="F882" s="1776" t="s">
        <v>2398</v>
      </c>
      <c r="G882" s="1776" t="s">
        <v>22</v>
      </c>
      <c r="H882" s="1776" t="s">
        <v>22</v>
      </c>
      <c r="I882" s="1776" t="s">
        <v>905</v>
      </c>
    </row>
    <row r="883" spans="1:9" ht="11.25" customHeight="1">
      <c r="A883" s="1776" t="s">
        <v>2244</v>
      </c>
      <c r="B883" s="1776" t="s">
        <v>16</v>
      </c>
      <c r="C883" s="1776" t="s">
        <v>2402</v>
      </c>
      <c r="D883" s="1776" t="s">
        <v>2403</v>
      </c>
      <c r="E883" s="1776" t="s">
        <v>2386</v>
      </c>
      <c r="F883" s="1776" t="s">
        <v>2404</v>
      </c>
      <c r="G883" s="1776" t="s">
        <v>22</v>
      </c>
      <c r="H883" s="1776" t="s">
        <v>22</v>
      </c>
      <c r="I883" s="1776" t="s">
        <v>905</v>
      </c>
    </row>
    <row r="884" spans="1:9" ht="11.25" customHeight="1">
      <c r="A884" s="1776" t="s">
        <v>2244</v>
      </c>
      <c r="B884" s="1776" t="s">
        <v>16</v>
      </c>
      <c r="C884" s="1776" t="s">
        <v>3703</v>
      </c>
      <c r="D884" s="1776" t="s">
        <v>3704</v>
      </c>
      <c r="E884" s="1776" t="s">
        <v>3705</v>
      </c>
      <c r="F884" s="1776" t="s">
        <v>2294</v>
      </c>
      <c r="G884" s="1776" t="s">
        <v>22</v>
      </c>
      <c r="H884" s="1776" t="s">
        <v>22</v>
      </c>
      <c r="I884" s="1776" t="s">
        <v>905</v>
      </c>
    </row>
    <row r="885" spans="1:9" ht="11.25" customHeight="1">
      <c r="A885" s="1776" t="s">
        <v>2244</v>
      </c>
      <c r="B885" s="1776" t="s">
        <v>16</v>
      </c>
      <c r="C885" s="1776" t="s">
        <v>4004</v>
      </c>
      <c r="D885" s="1776" t="s">
        <v>4005</v>
      </c>
      <c r="E885" s="1776" t="s">
        <v>4006</v>
      </c>
      <c r="F885" s="1776" t="s">
        <v>2302</v>
      </c>
      <c r="G885" s="1776" t="s">
        <v>4007</v>
      </c>
      <c r="H885" s="1776" t="s">
        <v>22</v>
      </c>
      <c r="I885" s="1776" t="s">
        <v>905</v>
      </c>
    </row>
    <row r="886" spans="1:9" ht="11.25" customHeight="1">
      <c r="A886" s="1776" t="s">
        <v>2244</v>
      </c>
      <c r="B886" s="1776" t="s">
        <v>16</v>
      </c>
      <c r="C886" s="1776" t="s">
        <v>4008</v>
      </c>
      <c r="D886" s="1776" t="s">
        <v>4009</v>
      </c>
      <c r="E886" s="1776" t="s">
        <v>4010</v>
      </c>
      <c r="F886" s="1776" t="s">
        <v>2697</v>
      </c>
      <c r="G886" s="1776" t="s">
        <v>22</v>
      </c>
      <c r="H886" s="1776" t="s">
        <v>22</v>
      </c>
      <c r="I886" s="1776" t="s">
        <v>905</v>
      </c>
    </row>
    <row r="887" spans="1:9" ht="11.25" customHeight="1">
      <c r="A887" s="1776" t="s">
        <v>2244</v>
      </c>
      <c r="B887" s="1776" t="s">
        <v>16</v>
      </c>
      <c r="C887" s="1776" t="s">
        <v>2437</v>
      </c>
      <c r="D887" s="1776" t="s">
        <v>2438</v>
      </c>
      <c r="E887" s="1776" t="s">
        <v>2439</v>
      </c>
      <c r="F887" s="1776" t="s">
        <v>2261</v>
      </c>
      <c r="G887" s="1776" t="s">
        <v>22</v>
      </c>
      <c r="H887" s="1776" t="s">
        <v>22</v>
      </c>
      <c r="I887" s="1776" t="s">
        <v>905</v>
      </c>
    </row>
    <row r="888" spans="1:9" ht="11.25" customHeight="1">
      <c r="A888" s="1776" t="s">
        <v>2244</v>
      </c>
      <c r="B888" s="1776" t="s">
        <v>16</v>
      </c>
      <c r="C888" s="1776" t="s">
        <v>2447</v>
      </c>
      <c r="D888" s="1776" t="s">
        <v>2448</v>
      </c>
      <c r="E888" s="1776" t="s">
        <v>2449</v>
      </c>
      <c r="F888" s="1776" t="s">
        <v>2323</v>
      </c>
      <c r="G888" s="1776" t="s">
        <v>2450</v>
      </c>
      <c r="H888" s="1776" t="s">
        <v>22</v>
      </c>
      <c r="I888" s="1776" t="s">
        <v>905</v>
      </c>
    </row>
    <row r="889" spans="1:9" ht="11.25" customHeight="1">
      <c r="A889" s="1776" t="s">
        <v>2244</v>
      </c>
      <c r="B889" s="1776" t="s">
        <v>16</v>
      </c>
      <c r="C889" s="1776" t="s">
        <v>3723</v>
      </c>
      <c r="D889" s="1776" t="s">
        <v>3724</v>
      </c>
      <c r="E889" s="1776" t="s">
        <v>3725</v>
      </c>
      <c r="F889" s="1776" t="s">
        <v>2507</v>
      </c>
      <c r="G889" s="1776" t="s">
        <v>22</v>
      </c>
      <c r="H889" s="1776" t="s">
        <v>22</v>
      </c>
      <c r="I889" s="1776" t="s">
        <v>905</v>
      </c>
    </row>
    <row r="890" spans="1:9" ht="11.25" customHeight="1">
      <c r="A890" s="1776" t="s">
        <v>2244</v>
      </c>
      <c r="B890" s="1776" t="s">
        <v>16</v>
      </c>
      <c r="C890" s="1776" t="s">
        <v>3726</v>
      </c>
      <c r="D890" s="1776" t="s">
        <v>3727</v>
      </c>
      <c r="E890" s="1776" t="s">
        <v>3728</v>
      </c>
      <c r="F890" s="1776" t="s">
        <v>2690</v>
      </c>
      <c r="G890" s="1776" t="s">
        <v>22</v>
      </c>
      <c r="H890" s="1776" t="s">
        <v>22</v>
      </c>
      <c r="I890" s="1776" t="s">
        <v>905</v>
      </c>
    </row>
    <row r="891" spans="1:9" ht="11.25" customHeight="1">
      <c r="A891" s="1776" t="s">
        <v>2244</v>
      </c>
      <c r="B891" s="1776" t="s">
        <v>16</v>
      </c>
      <c r="C891" s="1776" t="s">
        <v>2488</v>
      </c>
      <c r="D891" s="1776" t="s">
        <v>2489</v>
      </c>
      <c r="E891" s="1776" t="s">
        <v>2490</v>
      </c>
      <c r="F891" s="1776" t="s">
        <v>2491</v>
      </c>
      <c r="G891" s="1776" t="s">
        <v>2492</v>
      </c>
      <c r="H891" s="1776" t="s">
        <v>22</v>
      </c>
      <c r="I891" s="1776" t="s">
        <v>905</v>
      </c>
    </row>
    <row r="892" spans="1:9" ht="11.25" customHeight="1">
      <c r="A892" s="1776" t="s">
        <v>2244</v>
      </c>
      <c r="B892" s="1776" t="s">
        <v>16</v>
      </c>
      <c r="C892" s="1776" t="s">
        <v>2516</v>
      </c>
      <c r="D892" s="1776" t="s">
        <v>2517</v>
      </c>
      <c r="E892" s="1776" t="s">
        <v>2518</v>
      </c>
      <c r="F892" s="1776" t="s">
        <v>2519</v>
      </c>
      <c r="G892" s="1776" t="s">
        <v>22</v>
      </c>
      <c r="H892" s="1776" t="s">
        <v>22</v>
      </c>
      <c r="I892" s="1776" t="s">
        <v>905</v>
      </c>
    </row>
    <row r="893" spans="1:9" ht="11.25" customHeight="1">
      <c r="A893" s="1776" t="s">
        <v>2244</v>
      </c>
      <c r="B893" s="1776" t="s">
        <v>16</v>
      </c>
      <c r="C893" s="1776" t="s">
        <v>2520</v>
      </c>
      <c r="D893" s="1776" t="s">
        <v>2521</v>
      </c>
      <c r="E893" s="1776" t="s">
        <v>2522</v>
      </c>
      <c r="F893" s="1776" t="s">
        <v>2523</v>
      </c>
      <c r="G893" s="1776" t="s">
        <v>22</v>
      </c>
      <c r="H893" s="1776" t="s">
        <v>22</v>
      </c>
      <c r="I893" s="1776" t="s">
        <v>905</v>
      </c>
    </row>
    <row r="894" spans="1:9" ht="11.25" customHeight="1">
      <c r="A894" s="1776" t="s">
        <v>2244</v>
      </c>
      <c r="B894" s="1776" t="s">
        <v>16</v>
      </c>
      <c r="C894" s="1776" t="s">
        <v>2531</v>
      </c>
      <c r="D894" s="1776" t="s">
        <v>2532</v>
      </c>
      <c r="E894" s="1776" t="s">
        <v>2533</v>
      </c>
      <c r="F894" s="1776" t="s">
        <v>2534</v>
      </c>
      <c r="G894" s="1776" t="s">
        <v>22</v>
      </c>
      <c r="H894" s="1776" t="s">
        <v>22</v>
      </c>
      <c r="I894" s="1776" t="s">
        <v>905</v>
      </c>
    </row>
    <row r="895" spans="1:9" ht="11.25" customHeight="1">
      <c r="A895" s="1776" t="s">
        <v>2244</v>
      </c>
      <c r="B895" s="1776" t="s">
        <v>16</v>
      </c>
      <c r="C895" s="1776" t="s">
        <v>2535</v>
      </c>
      <c r="D895" s="1776" t="s">
        <v>2536</v>
      </c>
      <c r="E895" s="1776" t="s">
        <v>2537</v>
      </c>
      <c r="F895" s="1776" t="s">
        <v>2287</v>
      </c>
      <c r="G895" s="1776" t="s">
        <v>22</v>
      </c>
      <c r="H895" s="1776" t="s">
        <v>22</v>
      </c>
      <c r="I895" s="1776" t="s">
        <v>905</v>
      </c>
    </row>
    <row r="896" spans="1:9" ht="11.25" customHeight="1">
      <c r="A896" s="1776" t="s">
        <v>2244</v>
      </c>
      <c r="B896" s="1776" t="s">
        <v>16</v>
      </c>
      <c r="C896" s="1776" t="s">
        <v>2538</v>
      </c>
      <c r="D896" s="1776" t="s">
        <v>2539</v>
      </c>
      <c r="E896" s="1776" t="s">
        <v>2540</v>
      </c>
      <c r="F896" s="1776" t="s">
        <v>2276</v>
      </c>
      <c r="G896" s="1776" t="s">
        <v>22</v>
      </c>
      <c r="H896" s="1776" t="s">
        <v>22</v>
      </c>
      <c r="I896" s="1776" t="s">
        <v>905</v>
      </c>
    </row>
    <row r="897" spans="1:9" ht="11.25" customHeight="1">
      <c r="A897" s="1776" t="s">
        <v>2244</v>
      </c>
      <c r="B897" s="1776" t="s">
        <v>16</v>
      </c>
      <c r="C897" s="1776" t="s">
        <v>2551</v>
      </c>
      <c r="D897" s="1776" t="s">
        <v>2552</v>
      </c>
      <c r="E897" s="1776" t="s">
        <v>2553</v>
      </c>
      <c r="F897" s="1776" t="s">
        <v>2382</v>
      </c>
      <c r="G897" s="1776" t="s">
        <v>22</v>
      </c>
      <c r="H897" s="1776" t="s">
        <v>22</v>
      </c>
      <c r="I897" s="1776" t="s">
        <v>905</v>
      </c>
    </row>
    <row r="898" spans="1:9" ht="11.25" customHeight="1">
      <c r="A898" s="1776" t="s">
        <v>2244</v>
      </c>
      <c r="B898" s="1776" t="s">
        <v>16</v>
      </c>
      <c r="C898" s="1776" t="s">
        <v>2557</v>
      </c>
      <c r="D898" s="1776" t="s">
        <v>2558</v>
      </c>
      <c r="E898" s="1776" t="s">
        <v>2559</v>
      </c>
      <c r="F898" s="1776" t="s">
        <v>2560</v>
      </c>
      <c r="G898" s="1776" t="s">
        <v>22</v>
      </c>
      <c r="H898" s="1776" t="s">
        <v>22</v>
      </c>
      <c r="I898" s="1776" t="s">
        <v>905</v>
      </c>
    </row>
    <row r="899" spans="1:9" ht="11.25" customHeight="1">
      <c r="A899" s="1776" t="s">
        <v>2244</v>
      </c>
      <c r="B899" s="1776" t="s">
        <v>16</v>
      </c>
      <c r="C899" s="1776" t="s">
        <v>2568</v>
      </c>
      <c r="D899" s="1776" t="s">
        <v>2569</v>
      </c>
      <c r="E899" s="1776" t="s">
        <v>2570</v>
      </c>
      <c r="F899" s="1776" t="s">
        <v>2491</v>
      </c>
      <c r="G899" s="1776" t="s">
        <v>22</v>
      </c>
      <c r="H899" s="1776" t="s">
        <v>22</v>
      </c>
      <c r="I899" s="1776" t="s">
        <v>905</v>
      </c>
    </row>
    <row r="900" spans="1:9" ht="11.25" customHeight="1">
      <c r="A900" s="1776" t="s">
        <v>2244</v>
      </c>
      <c r="B900" s="1776" t="s">
        <v>16</v>
      </c>
      <c r="C900" s="1776" t="s">
        <v>2580</v>
      </c>
      <c r="D900" s="1776" t="s">
        <v>2581</v>
      </c>
      <c r="E900" s="1776" t="s">
        <v>2582</v>
      </c>
      <c r="F900" s="1776" t="s">
        <v>2382</v>
      </c>
      <c r="G900" s="1776" t="s">
        <v>22</v>
      </c>
      <c r="H900" s="1776" t="s">
        <v>22</v>
      </c>
      <c r="I900" s="1776" t="s">
        <v>905</v>
      </c>
    </row>
    <row r="901" spans="1:9" ht="11.25" customHeight="1">
      <c r="A901" s="1776" t="s">
        <v>2244</v>
      </c>
      <c r="B901" s="1776" t="s">
        <v>16</v>
      </c>
      <c r="C901" s="1776" t="s">
        <v>4011</v>
      </c>
      <c r="D901" s="1776" t="s">
        <v>4012</v>
      </c>
      <c r="E901" s="1776" t="s">
        <v>4013</v>
      </c>
      <c r="F901" s="1776" t="s">
        <v>2309</v>
      </c>
      <c r="G901" s="1776" t="s">
        <v>22</v>
      </c>
      <c r="H901" s="1776" t="s">
        <v>22</v>
      </c>
      <c r="I901" s="1776" t="s">
        <v>905</v>
      </c>
    </row>
    <row r="902" spans="1:9" ht="11.25" customHeight="1">
      <c r="A902" s="1776" t="s">
        <v>2244</v>
      </c>
      <c r="B902" s="1776" t="s">
        <v>16</v>
      </c>
      <c r="C902" s="1776" t="s">
        <v>2604</v>
      </c>
      <c r="D902" s="1776" t="s">
        <v>2605</v>
      </c>
      <c r="E902" s="1776" t="s">
        <v>2606</v>
      </c>
      <c r="F902" s="1776" t="s">
        <v>573</v>
      </c>
      <c r="G902" s="1776" t="s">
        <v>22</v>
      </c>
      <c r="H902" s="1776" t="s">
        <v>22</v>
      </c>
      <c r="I902" s="1776" t="s">
        <v>905</v>
      </c>
    </row>
    <row r="903" spans="1:9" ht="11.25" customHeight="1">
      <c r="A903" s="1776" t="s">
        <v>2244</v>
      </c>
      <c r="B903" s="1776" t="s">
        <v>16</v>
      </c>
      <c r="C903" s="1776" t="s">
        <v>4014</v>
      </c>
      <c r="D903" s="1776" t="s">
        <v>4015</v>
      </c>
      <c r="E903" s="1776" t="s">
        <v>4016</v>
      </c>
      <c r="F903" s="1776" t="s">
        <v>573</v>
      </c>
      <c r="G903" s="1776" t="s">
        <v>22</v>
      </c>
      <c r="H903" s="1776" t="s">
        <v>22</v>
      </c>
      <c r="I903" s="1776" t="s">
        <v>905</v>
      </c>
    </row>
    <row r="904" spans="1:9" ht="11.25" customHeight="1">
      <c r="A904" s="1776" t="s">
        <v>2244</v>
      </c>
      <c r="B904" s="1776" t="s">
        <v>16</v>
      </c>
      <c r="C904" s="1776" t="s">
        <v>2610</v>
      </c>
      <c r="D904" s="1776" t="s">
        <v>2611</v>
      </c>
      <c r="E904" s="1776" t="s">
        <v>2612</v>
      </c>
      <c r="F904" s="1776" t="s">
        <v>2613</v>
      </c>
      <c r="G904" s="1776" t="s">
        <v>22</v>
      </c>
      <c r="H904" s="1776" t="s">
        <v>22</v>
      </c>
      <c r="I904" s="1776" t="s">
        <v>905</v>
      </c>
    </row>
    <row r="905" spans="1:9" ht="11.25" customHeight="1">
      <c r="A905" s="1776" t="s">
        <v>2244</v>
      </c>
      <c r="B905" s="1776" t="s">
        <v>16</v>
      </c>
      <c r="C905" s="1776" t="s">
        <v>3732</v>
      </c>
      <c r="D905" s="1776" t="s">
        <v>3733</v>
      </c>
      <c r="E905" s="1776" t="s">
        <v>3734</v>
      </c>
      <c r="F905" s="1776" t="s">
        <v>2690</v>
      </c>
      <c r="G905" s="1776" t="s">
        <v>22</v>
      </c>
      <c r="H905" s="1776" t="s">
        <v>22</v>
      </c>
      <c r="I905" s="1776" t="s">
        <v>905</v>
      </c>
    </row>
    <row r="906" spans="1:9" ht="11.25" customHeight="1">
      <c r="A906" s="1776" t="s">
        <v>2244</v>
      </c>
      <c r="B906" s="1776" t="s">
        <v>16</v>
      </c>
      <c r="C906" s="1776" t="s">
        <v>2643</v>
      </c>
      <c r="D906" s="1776" t="s">
        <v>2644</v>
      </c>
      <c r="E906" s="1776" t="s">
        <v>2645</v>
      </c>
      <c r="F906" s="1776" t="s">
        <v>2646</v>
      </c>
      <c r="G906" s="1776" t="s">
        <v>22</v>
      </c>
      <c r="H906" s="1776" t="s">
        <v>22</v>
      </c>
      <c r="I906" s="1776" t="s">
        <v>905</v>
      </c>
    </row>
    <row r="907" spans="1:9" ht="11.25" customHeight="1">
      <c r="A907" s="1776" t="s">
        <v>2244</v>
      </c>
      <c r="B907" s="1776" t="s">
        <v>16</v>
      </c>
      <c r="C907" s="1776" t="s">
        <v>3754</v>
      </c>
      <c r="D907" s="1776" t="s">
        <v>3751</v>
      </c>
      <c r="E907" s="1776" t="s">
        <v>3755</v>
      </c>
      <c r="F907" s="1776" t="s">
        <v>2672</v>
      </c>
      <c r="G907" s="1776" t="s">
        <v>22</v>
      </c>
      <c r="H907" s="1776" t="s">
        <v>22</v>
      </c>
      <c r="I907" s="1776" t="s">
        <v>905</v>
      </c>
    </row>
    <row r="908" spans="1:9" ht="11.25" customHeight="1">
      <c r="A908" s="1776" t="s">
        <v>2244</v>
      </c>
      <c r="B908" s="1776" t="s">
        <v>16</v>
      </c>
      <c r="C908" s="1776" t="s">
        <v>4017</v>
      </c>
      <c r="D908" s="1776" t="s">
        <v>4018</v>
      </c>
      <c r="E908" s="1776" t="s">
        <v>4019</v>
      </c>
      <c r="F908" s="1776" t="s">
        <v>2446</v>
      </c>
      <c r="G908" s="1776" t="s">
        <v>22</v>
      </c>
      <c r="H908" s="1776" t="s">
        <v>22</v>
      </c>
      <c r="I908" s="1776" t="s">
        <v>905</v>
      </c>
    </row>
    <row r="909" spans="1:9" ht="11.25" customHeight="1">
      <c r="A909" s="1776" t="s">
        <v>2244</v>
      </c>
      <c r="B909" s="1776" t="s">
        <v>16</v>
      </c>
      <c r="C909" s="1776" t="s">
        <v>2647</v>
      </c>
      <c r="D909" s="1776" t="s">
        <v>2648</v>
      </c>
      <c r="E909" s="1776" t="s">
        <v>2649</v>
      </c>
      <c r="F909" s="1776" t="s">
        <v>2446</v>
      </c>
      <c r="G909" s="1776" t="s">
        <v>22</v>
      </c>
      <c r="H909" s="1776" t="s">
        <v>22</v>
      </c>
      <c r="I909" s="1776" t="s">
        <v>905</v>
      </c>
    </row>
    <row r="910" spans="1:9" ht="11.25" customHeight="1">
      <c r="A910" s="1776" t="s">
        <v>2244</v>
      </c>
      <c r="B910" s="1776" t="s">
        <v>16</v>
      </c>
      <c r="C910" s="1776" t="s">
        <v>3756</v>
      </c>
      <c r="D910" s="1776" t="s">
        <v>3757</v>
      </c>
      <c r="E910" s="1776" t="s">
        <v>3758</v>
      </c>
      <c r="F910" s="1776" t="s">
        <v>2659</v>
      </c>
      <c r="G910" s="1776" t="s">
        <v>22</v>
      </c>
      <c r="H910" s="1776" t="s">
        <v>22</v>
      </c>
      <c r="I910" s="1776" t="s">
        <v>905</v>
      </c>
    </row>
    <row r="911" spans="1:9" ht="11.25" customHeight="1">
      <c r="A911" s="1776" t="s">
        <v>2244</v>
      </c>
      <c r="B911" s="1776" t="s">
        <v>16</v>
      </c>
      <c r="C911" s="1776" t="s">
        <v>2650</v>
      </c>
      <c r="D911" s="1776" t="s">
        <v>2651</v>
      </c>
      <c r="E911" s="1776" t="s">
        <v>2652</v>
      </c>
      <c r="F911" s="1776" t="s">
        <v>2372</v>
      </c>
      <c r="G911" s="1776" t="s">
        <v>22</v>
      </c>
      <c r="H911" s="1776" t="s">
        <v>22</v>
      </c>
      <c r="I911" s="1776" t="s">
        <v>905</v>
      </c>
    </row>
    <row r="912" spans="1:9" ht="11.25" customHeight="1">
      <c r="A912" s="1776" t="s">
        <v>2244</v>
      </c>
      <c r="B912" s="1776" t="s">
        <v>16</v>
      </c>
      <c r="C912" s="1776" t="s">
        <v>2653</v>
      </c>
      <c r="D912" s="1776" t="s">
        <v>2654</v>
      </c>
      <c r="E912" s="1776" t="s">
        <v>2655</v>
      </c>
      <c r="F912" s="1776" t="s">
        <v>2446</v>
      </c>
      <c r="G912" s="1776" t="s">
        <v>22</v>
      </c>
      <c r="H912" s="1776" t="s">
        <v>22</v>
      </c>
      <c r="I912" s="1776" t="s">
        <v>905</v>
      </c>
    </row>
    <row r="913" spans="1:9" ht="11.25" customHeight="1">
      <c r="A913" s="1776" t="s">
        <v>2244</v>
      </c>
      <c r="B913" s="1776" t="s">
        <v>16</v>
      </c>
      <c r="C913" s="1776" t="s">
        <v>4020</v>
      </c>
      <c r="D913" s="1776" t="s">
        <v>4021</v>
      </c>
      <c r="E913" s="1776" t="s">
        <v>4022</v>
      </c>
      <c r="F913" s="1776" t="s">
        <v>2623</v>
      </c>
      <c r="G913" s="1776" t="s">
        <v>22</v>
      </c>
      <c r="H913" s="1776" t="s">
        <v>22</v>
      </c>
      <c r="I913" s="1776" t="s">
        <v>905</v>
      </c>
    </row>
    <row r="914" spans="1:9" ht="11.25" customHeight="1">
      <c r="A914" s="1776" t="s">
        <v>2244</v>
      </c>
      <c r="B914" s="1776" t="s">
        <v>16</v>
      </c>
      <c r="C914" s="1776" t="s">
        <v>2656</v>
      </c>
      <c r="D914" s="1776" t="s">
        <v>2657</v>
      </c>
      <c r="E914" s="1776" t="s">
        <v>2658</v>
      </c>
      <c r="F914" s="1776" t="s">
        <v>2659</v>
      </c>
      <c r="G914" s="1776" t="s">
        <v>22</v>
      </c>
      <c r="H914" s="1776" t="s">
        <v>22</v>
      </c>
      <c r="I914" s="1776" t="s">
        <v>905</v>
      </c>
    </row>
    <row r="915" spans="1:9" ht="11.25" customHeight="1">
      <c r="A915" s="1776" t="s">
        <v>2244</v>
      </c>
      <c r="B915" s="1776" t="s">
        <v>16</v>
      </c>
      <c r="C915" s="1776" t="s">
        <v>2660</v>
      </c>
      <c r="D915" s="1776" t="s">
        <v>2661</v>
      </c>
      <c r="E915" s="1776" t="s">
        <v>2662</v>
      </c>
      <c r="F915" s="1776" t="s">
        <v>2276</v>
      </c>
      <c r="G915" s="1776" t="s">
        <v>22</v>
      </c>
      <c r="H915" s="1776" t="s">
        <v>22</v>
      </c>
      <c r="I915" s="1776" t="s">
        <v>905</v>
      </c>
    </row>
    <row r="916" spans="1:9" ht="11.25" customHeight="1">
      <c r="A916" s="1776" t="s">
        <v>2244</v>
      </c>
      <c r="B916" s="1776" t="s">
        <v>16</v>
      </c>
      <c r="C916" s="1776" t="s">
        <v>2663</v>
      </c>
      <c r="D916" s="1776" t="s">
        <v>2664</v>
      </c>
      <c r="E916" s="1776" t="s">
        <v>2665</v>
      </c>
      <c r="F916" s="1776" t="s">
        <v>2457</v>
      </c>
      <c r="G916" s="1776" t="s">
        <v>22</v>
      </c>
      <c r="H916" s="1776" t="s">
        <v>22</v>
      </c>
      <c r="I916" s="1776" t="s">
        <v>905</v>
      </c>
    </row>
    <row r="917" spans="1:9" ht="11.25" customHeight="1">
      <c r="A917" s="1776" t="s">
        <v>2244</v>
      </c>
      <c r="B917" s="1776" t="s">
        <v>16</v>
      </c>
      <c r="C917" s="1776" t="s">
        <v>2666</v>
      </c>
      <c r="D917" s="1776" t="s">
        <v>2667</v>
      </c>
      <c r="E917" s="1776" t="s">
        <v>2668</v>
      </c>
      <c r="F917" s="1776" t="s">
        <v>2659</v>
      </c>
      <c r="G917" s="1776" t="s">
        <v>22</v>
      </c>
      <c r="H917" s="1776" t="s">
        <v>22</v>
      </c>
      <c r="I917" s="1776" t="s">
        <v>905</v>
      </c>
    </row>
    <row r="918" spans="1:9" ht="11.25" customHeight="1">
      <c r="A918" s="1776" t="s">
        <v>2244</v>
      </c>
      <c r="B918" s="1776" t="s">
        <v>16</v>
      </c>
      <c r="C918" s="1776" t="s">
        <v>2676</v>
      </c>
      <c r="D918" s="1776" t="s">
        <v>2677</v>
      </c>
      <c r="E918" s="1776" t="s">
        <v>2678</v>
      </c>
      <c r="F918" s="1776" t="s">
        <v>2679</v>
      </c>
      <c r="G918" s="1776" t="s">
        <v>2680</v>
      </c>
      <c r="H918" s="1776" t="s">
        <v>22</v>
      </c>
      <c r="I918" s="1776" t="s">
        <v>905</v>
      </c>
    </row>
    <row r="919" spans="1:9" ht="11.25" customHeight="1">
      <c r="A919" s="1776" t="s">
        <v>2244</v>
      </c>
      <c r="B919" s="1776" t="s">
        <v>16</v>
      </c>
      <c r="C919" s="1776" t="s">
        <v>3759</v>
      </c>
      <c r="D919" s="1776" t="s">
        <v>3760</v>
      </c>
      <c r="E919" s="1776" t="s">
        <v>3761</v>
      </c>
      <c r="F919" s="1776" t="s">
        <v>3762</v>
      </c>
      <c r="G919" s="1776" t="s">
        <v>3763</v>
      </c>
      <c r="H919" s="1776" t="s">
        <v>22</v>
      </c>
      <c r="I919" s="1776" t="s">
        <v>905</v>
      </c>
    </row>
    <row r="920" spans="1:9" ht="11.25" customHeight="1">
      <c r="A920" s="1776" t="s">
        <v>2244</v>
      </c>
      <c r="B920" s="1776" t="s">
        <v>16</v>
      </c>
      <c r="C920" s="1776" t="s">
        <v>3764</v>
      </c>
      <c r="D920" s="1776" t="s">
        <v>3765</v>
      </c>
      <c r="E920" s="1776" t="s">
        <v>3766</v>
      </c>
      <c r="F920" s="1776" t="s">
        <v>2491</v>
      </c>
      <c r="G920" s="1776" t="s">
        <v>22</v>
      </c>
      <c r="H920" s="1776" t="s">
        <v>22</v>
      </c>
      <c r="I920" s="1776" t="s">
        <v>905</v>
      </c>
    </row>
    <row r="921" spans="1:9" ht="11.25" customHeight="1">
      <c r="A921" s="1776" t="s">
        <v>2244</v>
      </c>
      <c r="B921" s="1776" t="s">
        <v>16</v>
      </c>
      <c r="C921" s="1776" t="s">
        <v>4023</v>
      </c>
      <c r="D921" s="1776" t="s">
        <v>4024</v>
      </c>
      <c r="E921" s="1776" t="s">
        <v>4025</v>
      </c>
      <c r="F921" s="1776" t="s">
        <v>2344</v>
      </c>
      <c r="G921" s="1776" t="s">
        <v>22</v>
      </c>
      <c r="H921" s="1776" t="s">
        <v>22</v>
      </c>
      <c r="I921" s="1776" t="s">
        <v>905</v>
      </c>
    </row>
    <row r="922" spans="1:9" ht="11.25" customHeight="1">
      <c r="A922" s="1776" t="s">
        <v>2244</v>
      </c>
      <c r="B922" s="1776" t="s">
        <v>16</v>
      </c>
      <c r="C922" s="1776" t="s">
        <v>3770</v>
      </c>
      <c r="D922" s="1776" t="s">
        <v>3771</v>
      </c>
      <c r="E922" s="1776" t="s">
        <v>3772</v>
      </c>
      <c r="F922" s="1776" t="s">
        <v>3008</v>
      </c>
      <c r="G922" s="1776" t="s">
        <v>22</v>
      </c>
      <c r="H922" s="1776" t="s">
        <v>22</v>
      </c>
      <c r="I922" s="1776" t="s">
        <v>905</v>
      </c>
    </row>
    <row r="923" spans="1:9" ht="11.25" customHeight="1">
      <c r="A923" s="1776" t="s">
        <v>2244</v>
      </c>
      <c r="B923" s="1776" t="s">
        <v>16</v>
      </c>
      <c r="C923" s="1776" t="s">
        <v>2691</v>
      </c>
      <c r="D923" s="1776" t="s">
        <v>2692</v>
      </c>
      <c r="E923" s="1776" t="s">
        <v>2693</v>
      </c>
      <c r="F923" s="1776" t="s">
        <v>2294</v>
      </c>
      <c r="G923" s="1776" t="s">
        <v>22</v>
      </c>
      <c r="H923" s="1776" t="s">
        <v>22</v>
      </c>
      <c r="I923" s="1776" t="s">
        <v>905</v>
      </c>
    </row>
    <row r="924" spans="1:9" ht="11.25" customHeight="1">
      <c r="A924" s="1776" t="s">
        <v>2244</v>
      </c>
      <c r="B924" s="1776" t="s">
        <v>16</v>
      </c>
      <c r="C924" s="1776" t="s">
        <v>2694</v>
      </c>
      <c r="D924" s="1776" t="s">
        <v>2695</v>
      </c>
      <c r="E924" s="1776" t="s">
        <v>2696</v>
      </c>
      <c r="F924" s="1776" t="s">
        <v>2697</v>
      </c>
      <c r="G924" s="1776" t="s">
        <v>22</v>
      </c>
      <c r="H924" s="1776" t="s">
        <v>22</v>
      </c>
      <c r="I924" s="1776" t="s">
        <v>905</v>
      </c>
    </row>
    <row r="925" spans="1:9" ht="11.25" customHeight="1">
      <c r="A925" s="1776" t="s">
        <v>2244</v>
      </c>
      <c r="B925" s="1776" t="s">
        <v>16</v>
      </c>
      <c r="C925" s="1776" t="s">
        <v>2698</v>
      </c>
      <c r="D925" s="1776" t="s">
        <v>2699</v>
      </c>
      <c r="E925" s="1776" t="s">
        <v>2700</v>
      </c>
      <c r="F925" s="1776" t="s">
        <v>2701</v>
      </c>
      <c r="G925" s="1776" t="s">
        <v>22</v>
      </c>
      <c r="H925" s="1776" t="s">
        <v>22</v>
      </c>
      <c r="I925" s="1776" t="s">
        <v>905</v>
      </c>
    </row>
    <row r="926" spans="1:9" ht="11.25" customHeight="1">
      <c r="A926" s="1776" t="s">
        <v>2244</v>
      </c>
      <c r="B926" s="1776" t="s">
        <v>16</v>
      </c>
      <c r="C926" s="1776" t="s">
        <v>3773</v>
      </c>
      <c r="D926" s="1776" t="s">
        <v>3774</v>
      </c>
      <c r="E926" s="1776" t="s">
        <v>3775</v>
      </c>
      <c r="F926" s="1776" t="s">
        <v>2302</v>
      </c>
      <c r="G926" s="1776" t="s">
        <v>22</v>
      </c>
      <c r="H926" s="1776" t="s">
        <v>22</v>
      </c>
      <c r="I926" s="1776" t="s">
        <v>905</v>
      </c>
    </row>
    <row r="927" spans="1:9" ht="11.25" customHeight="1">
      <c r="A927" s="1776" t="s">
        <v>2244</v>
      </c>
      <c r="B927" s="1776" t="s">
        <v>16</v>
      </c>
      <c r="C927" s="1776" t="s">
        <v>3776</v>
      </c>
      <c r="D927" s="1776" t="s">
        <v>3777</v>
      </c>
      <c r="E927" s="1776" t="s">
        <v>3778</v>
      </c>
      <c r="F927" s="1776" t="s">
        <v>3298</v>
      </c>
      <c r="G927" s="1776" t="s">
        <v>22</v>
      </c>
      <c r="H927" s="1776" t="s">
        <v>22</v>
      </c>
      <c r="I927" s="1776" t="s">
        <v>905</v>
      </c>
    </row>
    <row r="928" spans="1:9" ht="11.25" customHeight="1">
      <c r="A928" s="1776" t="s">
        <v>2244</v>
      </c>
      <c r="B928" s="1776" t="s">
        <v>16</v>
      </c>
      <c r="C928" s="1776" t="s">
        <v>4026</v>
      </c>
      <c r="D928" s="1776" t="s">
        <v>4027</v>
      </c>
      <c r="E928" s="1776" t="s">
        <v>4028</v>
      </c>
      <c r="F928" s="1776" t="s">
        <v>2436</v>
      </c>
      <c r="G928" s="1776" t="s">
        <v>22</v>
      </c>
      <c r="H928" s="1776" t="s">
        <v>22</v>
      </c>
      <c r="I928" s="1776" t="s">
        <v>905</v>
      </c>
    </row>
    <row r="929" spans="1:9" ht="11.25" customHeight="1">
      <c r="A929" s="1776" t="s">
        <v>2244</v>
      </c>
      <c r="B929" s="1776" t="s">
        <v>16</v>
      </c>
      <c r="C929" s="1776" t="s">
        <v>2702</v>
      </c>
      <c r="D929" s="1776" t="s">
        <v>2703</v>
      </c>
      <c r="E929" s="1776" t="s">
        <v>2704</v>
      </c>
      <c r="F929" s="1776" t="s">
        <v>2705</v>
      </c>
      <c r="G929" s="1776" t="s">
        <v>22</v>
      </c>
      <c r="H929" s="1776" t="s">
        <v>22</v>
      </c>
      <c r="I929" s="1776" t="s">
        <v>905</v>
      </c>
    </row>
    <row r="930" spans="1:9" ht="11.25" customHeight="1">
      <c r="A930" s="1776" t="s">
        <v>2244</v>
      </c>
      <c r="B930" s="1776" t="s">
        <v>16</v>
      </c>
      <c r="C930" s="1776" t="s">
        <v>2706</v>
      </c>
      <c r="D930" s="1776" t="s">
        <v>2707</v>
      </c>
      <c r="E930" s="1776" t="s">
        <v>2708</v>
      </c>
      <c r="F930" s="1776" t="s">
        <v>2519</v>
      </c>
      <c r="G930" s="1776" t="s">
        <v>22</v>
      </c>
      <c r="H930" s="1776" t="s">
        <v>22</v>
      </c>
      <c r="I930" s="1776" t="s">
        <v>905</v>
      </c>
    </row>
    <row r="931" spans="1:9" ht="11.25" customHeight="1">
      <c r="A931" s="1776" t="s">
        <v>2244</v>
      </c>
      <c r="B931" s="1776" t="s">
        <v>16</v>
      </c>
      <c r="C931" s="1776" t="s">
        <v>3786</v>
      </c>
      <c r="D931" s="1776" t="s">
        <v>3787</v>
      </c>
      <c r="E931" s="1776" t="s">
        <v>3788</v>
      </c>
      <c r="F931" s="1776" t="s">
        <v>2534</v>
      </c>
      <c r="G931" s="1776" t="s">
        <v>22</v>
      </c>
      <c r="H931" s="1776" t="s">
        <v>22</v>
      </c>
      <c r="I931" s="1776" t="s">
        <v>905</v>
      </c>
    </row>
    <row r="932" spans="1:9" ht="11.25" customHeight="1">
      <c r="A932" s="1776" t="s">
        <v>2244</v>
      </c>
      <c r="B932" s="1776" t="s">
        <v>16</v>
      </c>
      <c r="C932" s="1776" t="s">
        <v>2709</v>
      </c>
      <c r="D932" s="1776" t="s">
        <v>2710</v>
      </c>
      <c r="E932" s="1776" t="s">
        <v>2711</v>
      </c>
      <c r="F932" s="1776" t="s">
        <v>2313</v>
      </c>
      <c r="G932" s="1776" t="s">
        <v>22</v>
      </c>
      <c r="H932" s="1776" t="s">
        <v>22</v>
      </c>
      <c r="I932" s="1776" t="s">
        <v>905</v>
      </c>
    </row>
    <row r="933" spans="1:9" ht="11.25" customHeight="1">
      <c r="A933" s="1776" t="s">
        <v>2244</v>
      </c>
      <c r="B933" s="1776" t="s">
        <v>16</v>
      </c>
      <c r="C933" s="1776" t="s">
        <v>3789</v>
      </c>
      <c r="D933" s="1776" t="s">
        <v>2710</v>
      </c>
      <c r="E933" s="1776" t="s">
        <v>3790</v>
      </c>
      <c r="F933" s="1776" t="s">
        <v>2962</v>
      </c>
      <c r="G933" s="1776" t="s">
        <v>22</v>
      </c>
      <c r="H933" s="1776" t="s">
        <v>22</v>
      </c>
      <c r="I933" s="1776" t="s">
        <v>905</v>
      </c>
    </row>
    <row r="934" spans="1:9" ht="11.25" customHeight="1">
      <c r="A934" s="1776" t="s">
        <v>2244</v>
      </c>
      <c r="B934" s="1776" t="s">
        <v>16</v>
      </c>
      <c r="C934" s="1776" t="s">
        <v>2712</v>
      </c>
      <c r="D934" s="1776" t="s">
        <v>2713</v>
      </c>
      <c r="E934" s="1776" t="s">
        <v>2714</v>
      </c>
      <c r="F934" s="1776" t="s">
        <v>2523</v>
      </c>
      <c r="G934" s="1776" t="s">
        <v>22</v>
      </c>
      <c r="H934" s="1776" t="s">
        <v>22</v>
      </c>
      <c r="I934" s="1776" t="s">
        <v>905</v>
      </c>
    </row>
    <row r="935" spans="1:9" ht="11.25" customHeight="1">
      <c r="A935" s="1776" t="s">
        <v>2244</v>
      </c>
      <c r="B935" s="1776" t="s">
        <v>16</v>
      </c>
      <c r="C935" s="1776" t="s">
        <v>3794</v>
      </c>
      <c r="D935" s="1776" t="s">
        <v>3795</v>
      </c>
      <c r="E935" s="1776" t="s">
        <v>3796</v>
      </c>
      <c r="F935" s="1776" t="s">
        <v>2294</v>
      </c>
      <c r="G935" s="1776" t="s">
        <v>3797</v>
      </c>
      <c r="H935" s="1776" t="s">
        <v>22</v>
      </c>
      <c r="I935" s="1776" t="s">
        <v>905</v>
      </c>
    </row>
    <row r="936" spans="1:9" ht="11.25" customHeight="1">
      <c r="A936" s="1776" t="s">
        <v>2244</v>
      </c>
      <c r="B936" s="1776" t="s">
        <v>16</v>
      </c>
      <c r="C936" s="1776" t="s">
        <v>3798</v>
      </c>
      <c r="D936" s="1776" t="s">
        <v>3799</v>
      </c>
      <c r="E936" s="1776" t="s">
        <v>3800</v>
      </c>
      <c r="F936" s="1776" t="s">
        <v>2436</v>
      </c>
      <c r="G936" s="1776" t="s">
        <v>22</v>
      </c>
      <c r="H936" s="1776" t="s">
        <v>22</v>
      </c>
      <c r="I936" s="1776" t="s">
        <v>905</v>
      </c>
    </row>
    <row r="937" spans="1:9" ht="11.25" customHeight="1">
      <c r="A937" s="1776" t="s">
        <v>2244</v>
      </c>
      <c r="B937" s="1776" t="s">
        <v>16</v>
      </c>
      <c r="C937" s="1776" t="s">
        <v>3801</v>
      </c>
      <c r="D937" s="1776" t="s">
        <v>3802</v>
      </c>
      <c r="E937" s="1776" t="s">
        <v>3803</v>
      </c>
      <c r="F937" s="1776" t="s">
        <v>2962</v>
      </c>
      <c r="G937" s="1776" t="s">
        <v>22</v>
      </c>
      <c r="H937" s="1776" t="s">
        <v>22</v>
      </c>
      <c r="I937" s="1776" t="s">
        <v>905</v>
      </c>
    </row>
    <row r="938" spans="1:9" ht="11.25" customHeight="1">
      <c r="A938" s="1776" t="s">
        <v>2244</v>
      </c>
      <c r="B938" s="1776" t="s">
        <v>16</v>
      </c>
      <c r="C938" s="1776" t="s">
        <v>3804</v>
      </c>
      <c r="D938" s="1776" t="s">
        <v>3805</v>
      </c>
      <c r="E938" s="1776" t="s">
        <v>3806</v>
      </c>
      <c r="F938" s="1776" t="s">
        <v>2771</v>
      </c>
      <c r="G938" s="1776" t="s">
        <v>22</v>
      </c>
      <c r="H938" s="1776" t="s">
        <v>22</v>
      </c>
      <c r="I938" s="1776" t="s">
        <v>905</v>
      </c>
    </row>
    <row r="939" spans="1:9" ht="11.25" customHeight="1">
      <c r="A939" s="1776" t="s">
        <v>2244</v>
      </c>
      <c r="B939" s="1776" t="s">
        <v>16</v>
      </c>
      <c r="C939" s="1776" t="s">
        <v>2718</v>
      </c>
      <c r="D939" s="1776" t="s">
        <v>2719</v>
      </c>
      <c r="E939" s="1776" t="s">
        <v>2720</v>
      </c>
      <c r="F939" s="1776" t="s">
        <v>2697</v>
      </c>
      <c r="G939" s="1776" t="s">
        <v>22</v>
      </c>
      <c r="H939" s="1776" t="s">
        <v>22</v>
      </c>
      <c r="I939" s="1776" t="s">
        <v>905</v>
      </c>
    </row>
    <row r="940" spans="1:9" ht="11.25" customHeight="1">
      <c r="A940" s="1776" t="s">
        <v>2244</v>
      </c>
      <c r="B940" s="1776" t="s">
        <v>16</v>
      </c>
      <c r="C940" s="1776" t="s">
        <v>2721</v>
      </c>
      <c r="D940" s="1776" t="s">
        <v>2722</v>
      </c>
      <c r="E940" s="1776" t="s">
        <v>2723</v>
      </c>
      <c r="F940" s="1776" t="s">
        <v>2527</v>
      </c>
      <c r="G940" s="1776" t="s">
        <v>22</v>
      </c>
      <c r="H940" s="1776" t="s">
        <v>22</v>
      </c>
      <c r="I940" s="1776" t="s">
        <v>905</v>
      </c>
    </row>
    <row r="941" spans="1:9" ht="11.25" customHeight="1">
      <c r="A941" s="1776" t="s">
        <v>2244</v>
      </c>
      <c r="B941" s="1776" t="s">
        <v>16</v>
      </c>
      <c r="C941" s="1776" t="s">
        <v>2724</v>
      </c>
      <c r="D941" s="1776" t="s">
        <v>2725</v>
      </c>
      <c r="E941" s="1776" t="s">
        <v>2726</v>
      </c>
      <c r="F941" s="1776" t="s">
        <v>2679</v>
      </c>
      <c r="G941" s="1776" t="s">
        <v>22</v>
      </c>
      <c r="H941" s="1776" t="s">
        <v>22</v>
      </c>
      <c r="I941" s="1776" t="s">
        <v>905</v>
      </c>
    </row>
    <row r="942" spans="1:9" ht="11.25" customHeight="1">
      <c r="A942" s="1776" t="s">
        <v>2244</v>
      </c>
      <c r="B942" s="1776" t="s">
        <v>16</v>
      </c>
      <c r="C942" s="1776" t="s">
        <v>2727</v>
      </c>
      <c r="D942" s="1776" t="s">
        <v>2728</v>
      </c>
      <c r="E942" s="1776" t="s">
        <v>2729</v>
      </c>
      <c r="F942" s="1776" t="s">
        <v>2679</v>
      </c>
      <c r="G942" s="1776" t="s">
        <v>22</v>
      </c>
      <c r="H942" s="1776" t="s">
        <v>22</v>
      </c>
      <c r="I942" s="1776" t="s">
        <v>905</v>
      </c>
    </row>
    <row r="943" spans="1:9" ht="11.25" customHeight="1">
      <c r="A943" s="1776" t="s">
        <v>2244</v>
      </c>
      <c r="B943" s="1776" t="s">
        <v>16</v>
      </c>
      <c r="C943" s="1776" t="s">
        <v>2730</v>
      </c>
      <c r="D943" s="1776" t="s">
        <v>2731</v>
      </c>
      <c r="E943" s="1776" t="s">
        <v>2732</v>
      </c>
      <c r="F943" s="1776" t="s">
        <v>2679</v>
      </c>
      <c r="G943" s="1776" t="s">
        <v>22</v>
      </c>
      <c r="H943" s="1776" t="s">
        <v>22</v>
      </c>
      <c r="I943" s="1776" t="s">
        <v>905</v>
      </c>
    </row>
    <row r="944" spans="1:9" ht="11.25" customHeight="1">
      <c r="A944" s="1776" t="s">
        <v>2244</v>
      </c>
      <c r="B944" s="1776" t="s">
        <v>16</v>
      </c>
      <c r="C944" s="1776" t="s">
        <v>2733</v>
      </c>
      <c r="D944" s="1776" t="s">
        <v>2734</v>
      </c>
      <c r="E944" s="1776" t="s">
        <v>2735</v>
      </c>
      <c r="F944" s="1776" t="s">
        <v>2679</v>
      </c>
      <c r="G944" s="1776" t="s">
        <v>22</v>
      </c>
      <c r="H944" s="1776" t="s">
        <v>22</v>
      </c>
      <c r="I944" s="1776" t="s">
        <v>905</v>
      </c>
    </row>
    <row r="945" spans="1:9" ht="11.25" customHeight="1">
      <c r="A945" s="1776" t="s">
        <v>2244</v>
      </c>
      <c r="B945" s="1776" t="s">
        <v>16</v>
      </c>
      <c r="C945" s="1776" t="s">
        <v>2736</v>
      </c>
      <c r="D945" s="1776" t="s">
        <v>2737</v>
      </c>
      <c r="E945" s="1776" t="s">
        <v>2738</v>
      </c>
      <c r="F945" s="1776" t="s">
        <v>2679</v>
      </c>
      <c r="G945" s="1776" t="s">
        <v>22</v>
      </c>
      <c r="H945" s="1776" t="s">
        <v>22</v>
      </c>
      <c r="I945" s="1776" t="s">
        <v>905</v>
      </c>
    </row>
    <row r="946" spans="1:9" ht="11.25" customHeight="1">
      <c r="A946" s="1776" t="s">
        <v>2244</v>
      </c>
      <c r="B946" s="1776" t="s">
        <v>16</v>
      </c>
      <c r="C946" s="1776" t="s">
        <v>2739</v>
      </c>
      <c r="D946" s="1776" t="s">
        <v>2740</v>
      </c>
      <c r="E946" s="1776" t="s">
        <v>2741</v>
      </c>
      <c r="F946" s="1776" t="s">
        <v>2679</v>
      </c>
      <c r="G946" s="1776" t="s">
        <v>22</v>
      </c>
      <c r="H946" s="1776" t="s">
        <v>22</v>
      </c>
      <c r="I946" s="1776" t="s">
        <v>905</v>
      </c>
    </row>
    <row r="947" spans="1:9" ht="11.25" customHeight="1">
      <c r="A947" s="1776" t="s">
        <v>2244</v>
      </c>
      <c r="B947" s="1776" t="s">
        <v>16</v>
      </c>
      <c r="C947" s="1776" t="s">
        <v>2742</v>
      </c>
      <c r="D947" s="1776" t="s">
        <v>2743</v>
      </c>
      <c r="E947" s="1776" t="s">
        <v>2744</v>
      </c>
      <c r="F947" s="1776" t="s">
        <v>2344</v>
      </c>
      <c r="G947" s="1776" t="s">
        <v>22</v>
      </c>
      <c r="H947" s="1776" t="s">
        <v>22</v>
      </c>
      <c r="I947" s="1776" t="s">
        <v>905</v>
      </c>
    </row>
    <row r="948" spans="1:9" ht="11.25" customHeight="1">
      <c r="A948" s="1776" t="s">
        <v>2244</v>
      </c>
      <c r="B948" s="1776" t="s">
        <v>16</v>
      </c>
      <c r="C948" s="1776" t="s">
        <v>2745</v>
      </c>
      <c r="D948" s="1776" t="s">
        <v>2746</v>
      </c>
      <c r="E948" s="1776" t="s">
        <v>2747</v>
      </c>
      <c r="F948" s="1776" t="s">
        <v>2679</v>
      </c>
      <c r="G948" s="1776" t="s">
        <v>22</v>
      </c>
      <c r="H948" s="1776" t="s">
        <v>22</v>
      </c>
      <c r="I948" s="1776" t="s">
        <v>905</v>
      </c>
    </row>
    <row r="949" spans="1:9" ht="11.25" customHeight="1">
      <c r="A949" s="1776" t="s">
        <v>2244</v>
      </c>
      <c r="B949" s="1776" t="s">
        <v>16</v>
      </c>
      <c r="C949" s="1776" t="s">
        <v>2748</v>
      </c>
      <c r="D949" s="1776" t="s">
        <v>2749</v>
      </c>
      <c r="E949" s="1776" t="s">
        <v>2750</v>
      </c>
      <c r="F949" s="1776" t="s">
        <v>2751</v>
      </c>
      <c r="G949" s="1776" t="s">
        <v>22</v>
      </c>
      <c r="H949" s="1776" t="s">
        <v>22</v>
      </c>
      <c r="I949" s="1776" t="s">
        <v>905</v>
      </c>
    </row>
    <row r="950" spans="1:9" ht="11.25" customHeight="1">
      <c r="A950" s="1776" t="s">
        <v>2244</v>
      </c>
      <c r="B950" s="1776" t="s">
        <v>16</v>
      </c>
      <c r="C950" s="1776" t="s">
        <v>2752</v>
      </c>
      <c r="D950" s="1776" t="s">
        <v>2753</v>
      </c>
      <c r="E950" s="1776" t="s">
        <v>2754</v>
      </c>
      <c r="F950" s="1776" t="s">
        <v>2679</v>
      </c>
      <c r="G950" s="1776" t="s">
        <v>22</v>
      </c>
      <c r="H950" s="1776" t="s">
        <v>22</v>
      </c>
      <c r="I950" s="1776" t="s">
        <v>905</v>
      </c>
    </row>
    <row r="951" spans="1:9" ht="11.25" customHeight="1">
      <c r="A951" s="1776" t="s">
        <v>2244</v>
      </c>
      <c r="B951" s="1776" t="s">
        <v>16</v>
      </c>
      <c r="C951" s="1776" t="s">
        <v>2755</v>
      </c>
      <c r="D951" s="1776" t="s">
        <v>2756</v>
      </c>
      <c r="E951" s="1776" t="s">
        <v>2757</v>
      </c>
      <c r="F951" s="1776" t="s">
        <v>2758</v>
      </c>
      <c r="G951" s="1776" t="s">
        <v>22</v>
      </c>
      <c r="H951" s="1776" t="s">
        <v>22</v>
      </c>
      <c r="I951" s="1776" t="s">
        <v>905</v>
      </c>
    </row>
    <row r="952" spans="1:9" ht="11.25" customHeight="1">
      <c r="A952" s="1776" t="s">
        <v>2244</v>
      </c>
      <c r="B952" s="1776" t="s">
        <v>16</v>
      </c>
      <c r="C952" s="1776" t="s">
        <v>2759</v>
      </c>
      <c r="D952" s="1776" t="s">
        <v>2760</v>
      </c>
      <c r="E952" s="1776" t="s">
        <v>2761</v>
      </c>
      <c r="F952" s="1776" t="s">
        <v>2500</v>
      </c>
      <c r="G952" s="1776" t="s">
        <v>22</v>
      </c>
      <c r="H952" s="1776" t="s">
        <v>22</v>
      </c>
      <c r="I952" s="1776" t="s">
        <v>905</v>
      </c>
    </row>
    <row r="953" spans="1:9" ht="11.25" customHeight="1">
      <c r="A953" s="1776" t="s">
        <v>2244</v>
      </c>
      <c r="B953" s="1776" t="s">
        <v>16</v>
      </c>
      <c r="C953" s="1776" t="s">
        <v>2762</v>
      </c>
      <c r="D953" s="1776" t="s">
        <v>2763</v>
      </c>
      <c r="E953" s="1776" t="s">
        <v>2764</v>
      </c>
      <c r="F953" s="1776" t="s">
        <v>2523</v>
      </c>
      <c r="G953" s="1776" t="s">
        <v>22</v>
      </c>
      <c r="H953" s="1776" t="s">
        <v>22</v>
      </c>
      <c r="I953" s="1776" t="s">
        <v>905</v>
      </c>
    </row>
    <row r="954" spans="1:9" ht="11.25" customHeight="1">
      <c r="A954" s="1776" t="s">
        <v>2244</v>
      </c>
      <c r="B954" s="1776" t="s">
        <v>16</v>
      </c>
      <c r="C954" s="1776" t="s">
        <v>2765</v>
      </c>
      <c r="D954" s="1776" t="s">
        <v>2766</v>
      </c>
      <c r="E954" s="1776" t="s">
        <v>2767</v>
      </c>
      <c r="F954" s="1776" t="s">
        <v>2294</v>
      </c>
      <c r="G954" s="1776" t="s">
        <v>22</v>
      </c>
      <c r="H954" s="1776" t="s">
        <v>22</v>
      </c>
      <c r="I954" s="1776" t="s">
        <v>905</v>
      </c>
    </row>
    <row r="955" spans="1:9" ht="11.25" customHeight="1">
      <c r="A955" s="1776" t="s">
        <v>2244</v>
      </c>
      <c r="B955" s="1776" t="s">
        <v>16</v>
      </c>
      <c r="C955" s="1776" t="s">
        <v>3813</v>
      </c>
      <c r="D955" s="1776" t="s">
        <v>3814</v>
      </c>
      <c r="E955" s="1776" t="s">
        <v>3815</v>
      </c>
      <c r="F955" s="1776" t="s">
        <v>2815</v>
      </c>
      <c r="G955" s="1776" t="s">
        <v>22</v>
      </c>
      <c r="H955" s="1776" t="s">
        <v>22</v>
      </c>
      <c r="I955" s="1776" t="s">
        <v>905</v>
      </c>
    </row>
    <row r="956" spans="1:9" ht="11.25" customHeight="1">
      <c r="A956" s="1776" t="s">
        <v>2244</v>
      </c>
      <c r="B956" s="1776" t="s">
        <v>16</v>
      </c>
      <c r="C956" s="1776" t="s">
        <v>2772</v>
      </c>
      <c r="D956" s="1776" t="s">
        <v>2773</v>
      </c>
      <c r="E956" s="1776" t="s">
        <v>2774</v>
      </c>
      <c r="F956" s="1776" t="s">
        <v>2527</v>
      </c>
      <c r="G956" s="1776" t="s">
        <v>22</v>
      </c>
      <c r="H956" s="1776" t="s">
        <v>22</v>
      </c>
      <c r="I956" s="1776" t="s">
        <v>905</v>
      </c>
    </row>
    <row r="957" spans="1:9" ht="11.25" customHeight="1">
      <c r="A957" s="1776" t="s">
        <v>2244</v>
      </c>
      <c r="B957" s="1776" t="s">
        <v>16</v>
      </c>
      <c r="C957" s="1776" t="s">
        <v>2778</v>
      </c>
      <c r="D957" s="1776" t="s">
        <v>2779</v>
      </c>
      <c r="E957" s="1776" t="s">
        <v>2780</v>
      </c>
      <c r="F957" s="1776" t="s">
        <v>2523</v>
      </c>
      <c r="G957" s="1776" t="s">
        <v>22</v>
      </c>
      <c r="H957" s="1776" t="s">
        <v>22</v>
      </c>
      <c r="I957" s="1776" t="s">
        <v>905</v>
      </c>
    </row>
    <row r="958" spans="1:9" ht="11.25" customHeight="1">
      <c r="A958" s="1776" t="s">
        <v>2244</v>
      </c>
      <c r="B958" s="1776" t="s">
        <v>16</v>
      </c>
      <c r="C958" s="1776" t="s">
        <v>3819</v>
      </c>
      <c r="D958" s="1776" t="s">
        <v>3820</v>
      </c>
      <c r="E958" s="1776" t="s">
        <v>3821</v>
      </c>
      <c r="F958" s="1776" t="s">
        <v>2507</v>
      </c>
      <c r="G958" s="1776" t="s">
        <v>22</v>
      </c>
      <c r="H958" s="1776" t="s">
        <v>22</v>
      </c>
      <c r="I958" s="1776" t="s">
        <v>905</v>
      </c>
    </row>
    <row r="959" spans="1:9" ht="11.25" customHeight="1">
      <c r="A959" s="1776" t="s">
        <v>2244</v>
      </c>
      <c r="B959" s="1776" t="s">
        <v>16</v>
      </c>
      <c r="C959" s="1776" t="s">
        <v>3822</v>
      </c>
      <c r="D959" s="1776" t="s">
        <v>3823</v>
      </c>
      <c r="E959" s="1776" t="s">
        <v>3824</v>
      </c>
      <c r="F959" s="1776" t="s">
        <v>2507</v>
      </c>
      <c r="G959" s="1776" t="s">
        <v>22</v>
      </c>
      <c r="H959" s="1776" t="s">
        <v>22</v>
      </c>
      <c r="I959" s="1776" t="s">
        <v>905</v>
      </c>
    </row>
    <row r="960" spans="1:9" ht="11.25" customHeight="1">
      <c r="A960" s="1776" t="s">
        <v>2244</v>
      </c>
      <c r="B960" s="1776" t="s">
        <v>16</v>
      </c>
      <c r="C960" s="1776" t="s">
        <v>2784</v>
      </c>
      <c r="D960" s="1776" t="s">
        <v>2785</v>
      </c>
      <c r="E960" s="1776" t="s">
        <v>2786</v>
      </c>
      <c r="F960" s="1776" t="s">
        <v>2294</v>
      </c>
      <c r="G960" s="1776" t="s">
        <v>22</v>
      </c>
      <c r="H960" s="1776" t="s">
        <v>22</v>
      </c>
      <c r="I960" s="1776" t="s">
        <v>905</v>
      </c>
    </row>
    <row r="961" spans="1:9" ht="11.25" customHeight="1">
      <c r="A961" s="1776" t="s">
        <v>2244</v>
      </c>
      <c r="B961" s="1776" t="s">
        <v>16</v>
      </c>
      <c r="C961" s="1776" t="s">
        <v>2787</v>
      </c>
      <c r="D961" s="1776" t="s">
        <v>2788</v>
      </c>
      <c r="E961" s="1776" t="s">
        <v>2789</v>
      </c>
      <c r="F961" s="1776" t="s">
        <v>2294</v>
      </c>
      <c r="G961" s="1776" t="s">
        <v>22</v>
      </c>
      <c r="H961" s="1776" t="s">
        <v>22</v>
      </c>
      <c r="I961" s="1776" t="s">
        <v>905</v>
      </c>
    </row>
    <row r="962" spans="1:9" ht="11.25" customHeight="1">
      <c r="A962" s="1776" t="s">
        <v>2244</v>
      </c>
      <c r="B962" s="1776" t="s">
        <v>16</v>
      </c>
      <c r="C962" s="1776" t="s">
        <v>3825</v>
      </c>
      <c r="D962" s="1776" t="s">
        <v>3826</v>
      </c>
      <c r="E962" s="1776" t="s">
        <v>3827</v>
      </c>
      <c r="F962" s="1776" t="s">
        <v>2523</v>
      </c>
      <c r="G962" s="1776" t="s">
        <v>22</v>
      </c>
      <c r="H962" s="1776" t="s">
        <v>22</v>
      </c>
      <c r="I962" s="1776" t="s">
        <v>905</v>
      </c>
    </row>
    <row r="963" spans="1:9" ht="11.25" customHeight="1">
      <c r="A963" s="1776" t="s">
        <v>2244</v>
      </c>
      <c r="B963" s="1776" t="s">
        <v>16</v>
      </c>
      <c r="C963" s="1776" t="s">
        <v>3828</v>
      </c>
      <c r="D963" s="1776" t="s">
        <v>3829</v>
      </c>
      <c r="E963" s="1776" t="s">
        <v>3830</v>
      </c>
      <c r="F963" s="1776" t="s">
        <v>2623</v>
      </c>
      <c r="G963" s="1776" t="s">
        <v>3831</v>
      </c>
      <c r="H963" s="1776" t="s">
        <v>22</v>
      </c>
      <c r="I963" s="1776" t="s">
        <v>905</v>
      </c>
    </row>
    <row r="964" spans="1:9" ht="11.25" customHeight="1">
      <c r="A964" s="1776" t="s">
        <v>2244</v>
      </c>
      <c r="B964" s="1776" t="s">
        <v>16</v>
      </c>
      <c r="C964" s="1776" t="s">
        <v>2796</v>
      </c>
      <c r="D964" s="1776" t="s">
        <v>2797</v>
      </c>
      <c r="E964" s="1776" t="s">
        <v>2798</v>
      </c>
      <c r="F964" s="1776" t="s">
        <v>2519</v>
      </c>
      <c r="G964" s="1776" t="s">
        <v>22</v>
      </c>
      <c r="H964" s="1776" t="s">
        <v>22</v>
      </c>
      <c r="I964" s="1776" t="s">
        <v>905</v>
      </c>
    </row>
    <row r="965" spans="1:9" ht="11.25" customHeight="1">
      <c r="A965" s="1776" t="s">
        <v>2244</v>
      </c>
      <c r="B965" s="1776" t="s">
        <v>16</v>
      </c>
      <c r="C965" s="1776" t="s">
        <v>2799</v>
      </c>
      <c r="D965" s="1776" t="s">
        <v>2800</v>
      </c>
      <c r="E965" s="1776" t="s">
        <v>2801</v>
      </c>
      <c r="F965" s="1776" t="s">
        <v>2515</v>
      </c>
      <c r="G965" s="1776" t="s">
        <v>22</v>
      </c>
      <c r="H965" s="1776" t="s">
        <v>22</v>
      </c>
      <c r="I965" s="1776" t="s">
        <v>905</v>
      </c>
    </row>
    <row r="966" spans="1:9" ht="11.25" customHeight="1">
      <c r="A966" s="1776" t="s">
        <v>2244</v>
      </c>
      <c r="B966" s="1776" t="s">
        <v>16</v>
      </c>
      <c r="C966" s="1776" t="s">
        <v>2802</v>
      </c>
      <c r="D966" s="1776" t="s">
        <v>2803</v>
      </c>
      <c r="E966" s="1776" t="s">
        <v>2804</v>
      </c>
      <c r="F966" s="1776" t="s">
        <v>2679</v>
      </c>
      <c r="G966" s="1776" t="s">
        <v>22</v>
      </c>
      <c r="H966" s="1776" t="s">
        <v>22</v>
      </c>
      <c r="I966" s="1776" t="s">
        <v>905</v>
      </c>
    </row>
    <row r="967" spans="1:9" ht="11.25" customHeight="1">
      <c r="A967" s="1776" t="s">
        <v>2244</v>
      </c>
      <c r="B967" s="1776" t="s">
        <v>16</v>
      </c>
      <c r="C967" s="1776" t="s">
        <v>2805</v>
      </c>
      <c r="D967" s="1776" t="s">
        <v>2806</v>
      </c>
      <c r="E967" s="1776" t="s">
        <v>2807</v>
      </c>
      <c r="F967" s="1776" t="s">
        <v>2808</v>
      </c>
      <c r="G967" s="1776" t="s">
        <v>22</v>
      </c>
      <c r="H967" s="1776" t="s">
        <v>22</v>
      </c>
      <c r="I967" s="1776" t="s">
        <v>905</v>
      </c>
    </row>
    <row r="968" spans="1:9" ht="11.25" customHeight="1">
      <c r="A968" s="1776" t="s">
        <v>2244</v>
      </c>
      <c r="B968" s="1776" t="s">
        <v>16</v>
      </c>
      <c r="C968" s="1776" t="s">
        <v>2809</v>
      </c>
      <c r="D968" s="1776" t="s">
        <v>2810</v>
      </c>
      <c r="E968" s="1776" t="s">
        <v>2811</v>
      </c>
      <c r="F968" s="1776" t="s">
        <v>2302</v>
      </c>
      <c r="G968" s="1776" t="s">
        <v>22</v>
      </c>
      <c r="H968" s="1776" t="s">
        <v>22</v>
      </c>
      <c r="I968" s="1776" t="s">
        <v>905</v>
      </c>
    </row>
    <row r="969" spans="1:9" ht="11.25" customHeight="1">
      <c r="A969" s="1776" t="s">
        <v>2244</v>
      </c>
      <c r="B969" s="1776" t="s">
        <v>16</v>
      </c>
      <c r="C969" s="1776" t="s">
        <v>2812</v>
      </c>
      <c r="D969" s="1776" t="s">
        <v>2813</v>
      </c>
      <c r="E969" s="1776" t="s">
        <v>2814</v>
      </c>
      <c r="F969" s="1776" t="s">
        <v>2815</v>
      </c>
      <c r="G969" s="1776" t="s">
        <v>22</v>
      </c>
      <c r="H969" s="1776" t="s">
        <v>22</v>
      </c>
      <c r="I969" s="1776" t="s">
        <v>905</v>
      </c>
    </row>
    <row r="970" spans="1:9" ht="11.25" customHeight="1">
      <c r="A970" s="1776" t="s">
        <v>2244</v>
      </c>
      <c r="B970" s="1776" t="s">
        <v>16</v>
      </c>
      <c r="C970" s="1776" t="s">
        <v>2816</v>
      </c>
      <c r="D970" s="1776" t="s">
        <v>2817</v>
      </c>
      <c r="E970" s="1776" t="s">
        <v>2818</v>
      </c>
      <c r="F970" s="1776" t="s">
        <v>2679</v>
      </c>
      <c r="G970" s="1776" t="s">
        <v>22</v>
      </c>
      <c r="H970" s="1776" t="s">
        <v>22</v>
      </c>
      <c r="I970" s="1776" t="s">
        <v>905</v>
      </c>
    </row>
    <row r="971" spans="1:9" ht="11.25" customHeight="1">
      <c r="A971" s="1776" t="s">
        <v>2244</v>
      </c>
      <c r="B971" s="1776" t="s">
        <v>16</v>
      </c>
      <c r="C971" s="1776" t="s">
        <v>2822</v>
      </c>
      <c r="D971" s="1776" t="s">
        <v>2823</v>
      </c>
      <c r="E971" s="1776" t="s">
        <v>2824</v>
      </c>
      <c r="F971" s="1776" t="s">
        <v>2697</v>
      </c>
      <c r="G971" s="1776" t="s">
        <v>22</v>
      </c>
      <c r="H971" s="1776" t="s">
        <v>22</v>
      </c>
      <c r="I971" s="1776" t="s">
        <v>905</v>
      </c>
    </row>
    <row r="972" spans="1:9" ht="11.25" customHeight="1">
      <c r="A972" s="1776" t="s">
        <v>2244</v>
      </c>
      <c r="B972" s="1776" t="s">
        <v>16</v>
      </c>
      <c r="C972" s="1776" t="s">
        <v>2825</v>
      </c>
      <c r="D972" s="1776" t="s">
        <v>2826</v>
      </c>
      <c r="E972" s="1776" t="s">
        <v>2827</v>
      </c>
      <c r="F972" s="1776" t="s">
        <v>2828</v>
      </c>
      <c r="G972" s="1776" t="s">
        <v>22</v>
      </c>
      <c r="H972" s="1776" t="s">
        <v>22</v>
      </c>
      <c r="I972" s="1776" t="s">
        <v>905</v>
      </c>
    </row>
    <row r="973" spans="1:9" ht="11.25" customHeight="1">
      <c r="A973" s="1776" t="s">
        <v>2244</v>
      </c>
      <c r="B973" s="1776" t="s">
        <v>16</v>
      </c>
      <c r="C973" s="1776" t="s">
        <v>3835</v>
      </c>
      <c r="D973" s="1776" t="s">
        <v>3836</v>
      </c>
      <c r="E973" s="1776" t="s">
        <v>3837</v>
      </c>
      <c r="F973" s="1776" t="s">
        <v>2887</v>
      </c>
      <c r="G973" s="1776" t="s">
        <v>22</v>
      </c>
      <c r="H973" s="1776" t="s">
        <v>22</v>
      </c>
      <c r="I973" s="1776" t="s">
        <v>905</v>
      </c>
    </row>
    <row r="974" spans="1:9" ht="11.25" customHeight="1">
      <c r="A974" s="1776" t="s">
        <v>2244</v>
      </c>
      <c r="B974" s="1776" t="s">
        <v>16</v>
      </c>
      <c r="C974" s="1776" t="s">
        <v>2829</v>
      </c>
      <c r="D974" s="1776" t="s">
        <v>2830</v>
      </c>
      <c r="E974" s="1776" t="s">
        <v>2831</v>
      </c>
      <c r="F974" s="1776" t="s">
        <v>2534</v>
      </c>
      <c r="G974" s="1776" t="s">
        <v>22</v>
      </c>
      <c r="H974" s="1776" t="s">
        <v>22</v>
      </c>
      <c r="I974" s="1776" t="s">
        <v>905</v>
      </c>
    </row>
    <row r="975" spans="1:9" ht="11.25" customHeight="1">
      <c r="A975" s="1776" t="s">
        <v>2244</v>
      </c>
      <c r="B975" s="1776" t="s">
        <v>16</v>
      </c>
      <c r="C975" s="1776" t="s">
        <v>2832</v>
      </c>
      <c r="D975" s="1776" t="s">
        <v>2833</v>
      </c>
      <c r="E975" s="1776" t="s">
        <v>2834</v>
      </c>
      <c r="F975" s="1776" t="s">
        <v>2835</v>
      </c>
      <c r="G975" s="1776" t="s">
        <v>22</v>
      </c>
      <c r="H975" s="1776" t="s">
        <v>22</v>
      </c>
      <c r="I975" s="1776" t="s">
        <v>905</v>
      </c>
    </row>
    <row r="976" spans="1:9" ht="11.25" customHeight="1">
      <c r="A976" s="1776" t="s">
        <v>2244</v>
      </c>
      <c r="B976" s="1776" t="s">
        <v>16</v>
      </c>
      <c r="C976" s="1776" t="s">
        <v>2836</v>
      </c>
      <c r="D976" s="1776" t="s">
        <v>2837</v>
      </c>
      <c r="E976" s="1776" t="s">
        <v>2838</v>
      </c>
      <c r="F976" s="1776" t="s">
        <v>2313</v>
      </c>
      <c r="G976" s="1776" t="s">
        <v>22</v>
      </c>
      <c r="H976" s="1776" t="s">
        <v>22</v>
      </c>
      <c r="I976" s="1776" t="s">
        <v>905</v>
      </c>
    </row>
    <row r="977" spans="1:9" ht="11.25" customHeight="1">
      <c r="A977" s="1776" t="s">
        <v>2244</v>
      </c>
      <c r="B977" s="1776" t="s">
        <v>16</v>
      </c>
      <c r="C977" s="1776" t="s">
        <v>3845</v>
      </c>
      <c r="D977" s="1776" t="s">
        <v>3846</v>
      </c>
      <c r="E977" s="1776" t="s">
        <v>3847</v>
      </c>
      <c r="F977" s="1776" t="s">
        <v>2527</v>
      </c>
      <c r="G977" s="1776" t="s">
        <v>22</v>
      </c>
      <c r="H977" s="1776" t="s">
        <v>22</v>
      </c>
      <c r="I977" s="1776" t="s">
        <v>905</v>
      </c>
    </row>
    <row r="978" spans="1:9" ht="11.25" customHeight="1">
      <c r="A978" s="1776" t="s">
        <v>2244</v>
      </c>
      <c r="B978" s="1776" t="s">
        <v>16</v>
      </c>
      <c r="C978" s="1776" t="s">
        <v>2839</v>
      </c>
      <c r="D978" s="1776" t="s">
        <v>2840</v>
      </c>
      <c r="E978" s="1776" t="s">
        <v>2841</v>
      </c>
      <c r="F978" s="1776" t="s">
        <v>2511</v>
      </c>
      <c r="G978" s="1776" t="s">
        <v>22</v>
      </c>
      <c r="H978" s="1776" t="s">
        <v>22</v>
      </c>
      <c r="I978" s="1776" t="s">
        <v>905</v>
      </c>
    </row>
    <row r="979" spans="1:9" ht="11.25" customHeight="1">
      <c r="A979" s="1776" t="s">
        <v>2244</v>
      </c>
      <c r="B979" s="1776" t="s">
        <v>16</v>
      </c>
      <c r="C979" s="1776" t="s">
        <v>2842</v>
      </c>
      <c r="D979" s="1776" t="s">
        <v>2843</v>
      </c>
      <c r="E979" s="1776" t="s">
        <v>2844</v>
      </c>
      <c r="F979" s="1776" t="s">
        <v>2631</v>
      </c>
      <c r="G979" s="1776" t="s">
        <v>2845</v>
      </c>
      <c r="H979" s="1776" t="s">
        <v>22</v>
      </c>
      <c r="I979" s="1776" t="s">
        <v>905</v>
      </c>
    </row>
    <row r="980" spans="1:9" ht="11.25" customHeight="1">
      <c r="A980" s="1776" t="s">
        <v>2244</v>
      </c>
      <c r="B980" s="1776" t="s">
        <v>16</v>
      </c>
      <c r="C980" s="1776" t="s">
        <v>2846</v>
      </c>
      <c r="D980" s="1776" t="s">
        <v>2847</v>
      </c>
      <c r="E980" s="1776" t="s">
        <v>2848</v>
      </c>
      <c r="F980" s="1776" t="s">
        <v>2690</v>
      </c>
      <c r="G980" s="1776" t="s">
        <v>22</v>
      </c>
      <c r="H980" s="1776" t="s">
        <v>22</v>
      </c>
      <c r="I980" s="1776" t="s">
        <v>905</v>
      </c>
    </row>
    <row r="981" spans="1:9" ht="11.25" customHeight="1">
      <c r="A981" s="1776" t="s">
        <v>2244</v>
      </c>
      <c r="B981" s="1776" t="s">
        <v>16</v>
      </c>
      <c r="C981" s="1776" t="s">
        <v>2849</v>
      </c>
      <c r="D981" s="1776" t="s">
        <v>2850</v>
      </c>
      <c r="E981" s="1776" t="s">
        <v>2851</v>
      </c>
      <c r="F981" s="1776" t="s">
        <v>2519</v>
      </c>
      <c r="G981" s="1776" t="s">
        <v>22</v>
      </c>
      <c r="H981" s="1776" t="s">
        <v>22</v>
      </c>
      <c r="I981" s="1776" t="s">
        <v>905</v>
      </c>
    </row>
    <row r="982" spans="1:9" ht="11.25" customHeight="1">
      <c r="A982" s="1776" t="s">
        <v>2244</v>
      </c>
      <c r="B982" s="1776" t="s">
        <v>16</v>
      </c>
      <c r="C982" s="1776" t="s">
        <v>2852</v>
      </c>
      <c r="D982" s="1776" t="s">
        <v>2853</v>
      </c>
      <c r="E982" s="1776" t="s">
        <v>2854</v>
      </c>
      <c r="F982" s="1776" t="s">
        <v>2855</v>
      </c>
      <c r="G982" s="1776" t="s">
        <v>22</v>
      </c>
      <c r="H982" s="1776" t="s">
        <v>22</v>
      </c>
      <c r="I982" s="1776" t="s">
        <v>905</v>
      </c>
    </row>
    <row r="983" spans="1:9" ht="11.25" customHeight="1">
      <c r="A983" s="1776" t="s">
        <v>2244</v>
      </c>
      <c r="B983" s="1776" t="s">
        <v>16</v>
      </c>
      <c r="C983" s="1776" t="s">
        <v>2856</v>
      </c>
      <c r="D983" s="1776" t="s">
        <v>2857</v>
      </c>
      <c r="E983" s="1776" t="s">
        <v>2858</v>
      </c>
      <c r="F983" s="1776" t="s">
        <v>2491</v>
      </c>
      <c r="G983" s="1776" t="s">
        <v>22</v>
      </c>
      <c r="H983" s="1776" t="s">
        <v>22</v>
      </c>
      <c r="I983" s="1776" t="s">
        <v>905</v>
      </c>
    </row>
    <row r="984" spans="1:9" ht="11.25" customHeight="1">
      <c r="A984" s="1776" t="s">
        <v>2244</v>
      </c>
      <c r="B984" s="1776" t="s">
        <v>16</v>
      </c>
      <c r="C984" s="1776" t="s">
        <v>2859</v>
      </c>
      <c r="D984" s="1776" t="s">
        <v>2860</v>
      </c>
      <c r="E984" s="1776" t="s">
        <v>2861</v>
      </c>
      <c r="F984" s="1776" t="s">
        <v>2862</v>
      </c>
      <c r="G984" s="1776" t="s">
        <v>22</v>
      </c>
      <c r="H984" s="1776" t="s">
        <v>22</v>
      </c>
      <c r="I984" s="1776" t="s">
        <v>905</v>
      </c>
    </row>
    <row r="985" spans="1:9" ht="11.25" customHeight="1">
      <c r="A985" s="1776" t="s">
        <v>2244</v>
      </c>
      <c r="B985" s="1776" t="s">
        <v>16</v>
      </c>
      <c r="C985" s="1776" t="s">
        <v>2863</v>
      </c>
      <c r="D985" s="1776" t="s">
        <v>2864</v>
      </c>
      <c r="E985" s="1776" t="s">
        <v>2865</v>
      </c>
      <c r="F985" s="1776" t="s">
        <v>2527</v>
      </c>
      <c r="G985" s="1776" t="s">
        <v>2866</v>
      </c>
      <c r="H985" s="1776" t="s">
        <v>22</v>
      </c>
      <c r="I985" s="1776" t="s">
        <v>905</v>
      </c>
    </row>
    <row r="986" spans="1:9" ht="11.25" customHeight="1">
      <c r="A986" s="1776" t="s">
        <v>2244</v>
      </c>
      <c r="B986" s="1776" t="s">
        <v>16</v>
      </c>
      <c r="C986" s="1776" t="s">
        <v>2867</v>
      </c>
      <c r="D986" s="1776" t="s">
        <v>2868</v>
      </c>
      <c r="E986" s="1776" t="s">
        <v>2869</v>
      </c>
      <c r="F986" s="1776" t="s">
        <v>2527</v>
      </c>
      <c r="G986" s="1776" t="s">
        <v>22</v>
      </c>
      <c r="H986" s="1776" t="s">
        <v>22</v>
      </c>
      <c r="I986" s="1776" t="s">
        <v>905</v>
      </c>
    </row>
    <row r="987" spans="1:9" ht="11.25" customHeight="1">
      <c r="A987" s="1776" t="s">
        <v>2244</v>
      </c>
      <c r="B987" s="1776" t="s">
        <v>16</v>
      </c>
      <c r="C987" s="1776" t="s">
        <v>2870</v>
      </c>
      <c r="D987" s="1776" t="s">
        <v>2871</v>
      </c>
      <c r="E987" s="1776" t="s">
        <v>2872</v>
      </c>
      <c r="F987" s="1776" t="s">
        <v>2873</v>
      </c>
      <c r="G987" s="1776" t="s">
        <v>22</v>
      </c>
      <c r="H987" s="1776" t="s">
        <v>22</v>
      </c>
      <c r="I987" s="1776" t="s">
        <v>905</v>
      </c>
    </row>
    <row r="988" spans="1:9" ht="11.25" customHeight="1">
      <c r="A988" s="1776" t="s">
        <v>2244</v>
      </c>
      <c r="B988" s="1776" t="s">
        <v>16</v>
      </c>
      <c r="C988" s="1776" t="s">
        <v>2874</v>
      </c>
      <c r="D988" s="1776" t="s">
        <v>2875</v>
      </c>
      <c r="E988" s="1776" t="s">
        <v>2876</v>
      </c>
      <c r="F988" s="1776" t="s">
        <v>2679</v>
      </c>
      <c r="G988" s="1776" t="s">
        <v>22</v>
      </c>
      <c r="H988" s="1776" t="s">
        <v>22</v>
      </c>
      <c r="I988" s="1776" t="s">
        <v>905</v>
      </c>
    </row>
    <row r="989" spans="1:9" ht="11.25" customHeight="1">
      <c r="A989" s="1776" t="s">
        <v>2244</v>
      </c>
      <c r="B989" s="1776" t="s">
        <v>16</v>
      </c>
      <c r="C989" s="1776" t="s">
        <v>2877</v>
      </c>
      <c r="D989" s="1776" t="s">
        <v>2878</v>
      </c>
      <c r="E989" s="1776" t="s">
        <v>2879</v>
      </c>
      <c r="F989" s="1776" t="s">
        <v>2491</v>
      </c>
      <c r="G989" s="1776" t="s">
        <v>2880</v>
      </c>
      <c r="H989" s="1776" t="s">
        <v>22</v>
      </c>
      <c r="I989" s="1776" t="s">
        <v>905</v>
      </c>
    </row>
    <row r="990" spans="1:9" ht="11.25" customHeight="1">
      <c r="A990" s="1776" t="s">
        <v>2244</v>
      </c>
      <c r="B990" s="1776" t="s">
        <v>16</v>
      </c>
      <c r="C990" s="1776" t="s">
        <v>2884</v>
      </c>
      <c r="D990" s="1776" t="s">
        <v>2885</v>
      </c>
      <c r="E990" s="1776" t="s">
        <v>2886</v>
      </c>
      <c r="F990" s="1776" t="s">
        <v>2887</v>
      </c>
      <c r="G990" s="1776" t="s">
        <v>22</v>
      </c>
      <c r="H990" s="1776" t="s">
        <v>22</v>
      </c>
      <c r="I990" s="1776" t="s">
        <v>905</v>
      </c>
    </row>
    <row r="991" spans="1:9" ht="11.25" customHeight="1">
      <c r="A991" s="1776" t="s">
        <v>2244</v>
      </c>
      <c r="B991" s="1776" t="s">
        <v>16</v>
      </c>
      <c r="C991" s="1776" t="s">
        <v>2888</v>
      </c>
      <c r="D991" s="1776" t="s">
        <v>2889</v>
      </c>
      <c r="E991" s="1776" t="s">
        <v>2890</v>
      </c>
      <c r="F991" s="1776" t="s">
        <v>2835</v>
      </c>
      <c r="G991" s="1776" t="s">
        <v>22</v>
      </c>
      <c r="H991" s="1776" t="s">
        <v>22</v>
      </c>
      <c r="I991" s="1776" t="s">
        <v>905</v>
      </c>
    </row>
    <row r="992" spans="1:9" ht="11.25" customHeight="1">
      <c r="A992" s="1776" t="s">
        <v>2244</v>
      </c>
      <c r="B992" s="1776" t="s">
        <v>16</v>
      </c>
      <c r="C992" s="1776" t="s">
        <v>2891</v>
      </c>
      <c r="D992" s="1776" t="s">
        <v>2892</v>
      </c>
      <c r="E992" s="1776" t="s">
        <v>2893</v>
      </c>
      <c r="F992" s="1776" t="s">
        <v>2631</v>
      </c>
      <c r="G992" s="1776" t="s">
        <v>2894</v>
      </c>
      <c r="H992" s="1776" t="s">
        <v>2895</v>
      </c>
      <c r="I992" s="1776" t="s">
        <v>905</v>
      </c>
    </row>
    <row r="993" spans="1:9" ht="11.25" customHeight="1">
      <c r="A993" s="1776" t="s">
        <v>2244</v>
      </c>
      <c r="B993" s="1776" t="s">
        <v>16</v>
      </c>
      <c r="C993" s="1776" t="s">
        <v>3848</v>
      </c>
      <c r="D993" s="1776" t="s">
        <v>3849</v>
      </c>
      <c r="E993" s="1776" t="s">
        <v>3850</v>
      </c>
      <c r="F993" s="1776" t="s">
        <v>2887</v>
      </c>
      <c r="G993" s="1776" t="s">
        <v>22</v>
      </c>
      <c r="H993" s="1776" t="s">
        <v>22</v>
      </c>
      <c r="I993" s="1776" t="s">
        <v>905</v>
      </c>
    </row>
    <row r="994" spans="1:9" ht="11.25" customHeight="1">
      <c r="A994" s="1776" t="s">
        <v>2244</v>
      </c>
      <c r="B994" s="1776" t="s">
        <v>16</v>
      </c>
      <c r="C994" s="1776" t="s">
        <v>2896</v>
      </c>
      <c r="D994" s="1776" t="s">
        <v>2897</v>
      </c>
      <c r="E994" s="1776" t="s">
        <v>2898</v>
      </c>
      <c r="F994" s="1776" t="s">
        <v>2491</v>
      </c>
      <c r="G994" s="1776" t="s">
        <v>2899</v>
      </c>
      <c r="H994" s="1776" t="s">
        <v>22</v>
      </c>
      <c r="I994" s="1776" t="s">
        <v>905</v>
      </c>
    </row>
    <row r="995" spans="1:9" ht="11.25" customHeight="1">
      <c r="A995" s="1776" t="s">
        <v>2244</v>
      </c>
      <c r="B995" s="1776" t="s">
        <v>16</v>
      </c>
      <c r="C995" s="1776" t="s">
        <v>2915</v>
      </c>
      <c r="D995" s="1776" t="s">
        <v>2916</v>
      </c>
      <c r="E995" s="1776" t="s">
        <v>2917</v>
      </c>
      <c r="F995" s="1776" t="s">
        <v>2491</v>
      </c>
      <c r="G995" s="1776" t="s">
        <v>22</v>
      </c>
      <c r="H995" s="1776" t="s">
        <v>22</v>
      </c>
      <c r="I995" s="1776" t="s">
        <v>905</v>
      </c>
    </row>
    <row r="996" spans="1:9" ht="11.25" customHeight="1">
      <c r="A996" s="1776" t="s">
        <v>2244</v>
      </c>
      <c r="B996" s="1776" t="s">
        <v>16</v>
      </c>
      <c r="C996" s="1776" t="s">
        <v>2927</v>
      </c>
      <c r="D996" s="1776" t="s">
        <v>2928</v>
      </c>
      <c r="E996" s="1776" t="s">
        <v>2929</v>
      </c>
      <c r="F996" s="1776" t="s">
        <v>2930</v>
      </c>
      <c r="G996" s="1776" t="s">
        <v>22</v>
      </c>
      <c r="H996" s="1776" t="s">
        <v>22</v>
      </c>
      <c r="I996" s="1776" t="s">
        <v>905</v>
      </c>
    </row>
    <row r="997" spans="1:9" ht="11.25" customHeight="1">
      <c r="A997" s="1776" t="s">
        <v>2244</v>
      </c>
      <c r="B997" s="1776" t="s">
        <v>16</v>
      </c>
      <c r="C997" s="1776" t="s">
        <v>3854</v>
      </c>
      <c r="D997" s="1776" t="s">
        <v>3855</v>
      </c>
      <c r="E997" s="1776" t="s">
        <v>3856</v>
      </c>
      <c r="F997" s="1776" t="s">
        <v>2527</v>
      </c>
      <c r="G997" s="1776" t="s">
        <v>22</v>
      </c>
      <c r="H997" s="1776" t="s">
        <v>22</v>
      </c>
      <c r="I997" s="1776" t="s">
        <v>905</v>
      </c>
    </row>
    <row r="998" spans="1:9" ht="11.25" customHeight="1">
      <c r="A998" s="1776" t="s">
        <v>2244</v>
      </c>
      <c r="B998" s="1776" t="s">
        <v>16</v>
      </c>
      <c r="C998" s="1776" t="s">
        <v>4029</v>
      </c>
      <c r="D998" s="1776" t="s">
        <v>4030</v>
      </c>
      <c r="E998" s="1776" t="s">
        <v>4031</v>
      </c>
      <c r="F998" s="1776" t="s">
        <v>2276</v>
      </c>
      <c r="G998" s="1776" t="s">
        <v>22</v>
      </c>
      <c r="H998" s="1776" t="s">
        <v>22</v>
      </c>
      <c r="I998" s="1776" t="s">
        <v>905</v>
      </c>
    </row>
    <row r="999" spans="1:9" ht="11.25" customHeight="1">
      <c r="A999" s="1776" t="s">
        <v>2244</v>
      </c>
      <c r="B999" s="1776" t="s">
        <v>16</v>
      </c>
      <c r="C999" s="1776" t="s">
        <v>4032</v>
      </c>
      <c r="D999" s="1776" t="s">
        <v>4033</v>
      </c>
      <c r="E999" s="1776" t="s">
        <v>4034</v>
      </c>
      <c r="F999" s="1776" t="s">
        <v>2276</v>
      </c>
      <c r="G999" s="1776" t="s">
        <v>22</v>
      </c>
      <c r="H999" s="1776" t="s">
        <v>22</v>
      </c>
      <c r="I999" s="1776" t="s">
        <v>905</v>
      </c>
    </row>
    <row r="1000" spans="1:9" ht="11.25" customHeight="1">
      <c r="A1000" s="1776" t="s">
        <v>2244</v>
      </c>
      <c r="B1000" s="1776" t="s">
        <v>16</v>
      </c>
      <c r="C1000" s="1776" t="s">
        <v>2946</v>
      </c>
      <c r="D1000" s="1776" t="s">
        <v>2947</v>
      </c>
      <c r="E1000" s="1776" t="s">
        <v>2948</v>
      </c>
      <c r="F1000" s="1776" t="s">
        <v>2309</v>
      </c>
      <c r="G1000" s="1776" t="s">
        <v>22</v>
      </c>
      <c r="H1000" s="1776" t="s">
        <v>22</v>
      </c>
      <c r="I1000" s="1776" t="s">
        <v>905</v>
      </c>
    </row>
    <row r="1001" spans="1:9" ht="11.25" customHeight="1">
      <c r="A1001" s="1776" t="s">
        <v>2244</v>
      </c>
      <c r="B1001" s="1776" t="s">
        <v>16</v>
      </c>
      <c r="C1001" s="1776" t="s">
        <v>2949</v>
      </c>
      <c r="D1001" s="1776" t="s">
        <v>2950</v>
      </c>
      <c r="E1001" s="1776" t="s">
        <v>2951</v>
      </c>
      <c r="F1001" s="1776" t="s">
        <v>2323</v>
      </c>
      <c r="G1001" s="1776" t="s">
        <v>22</v>
      </c>
      <c r="H1001" s="1776" t="s">
        <v>22</v>
      </c>
      <c r="I1001" s="1776" t="s">
        <v>905</v>
      </c>
    </row>
    <row r="1002" spans="1:9" ht="11.25" customHeight="1">
      <c r="A1002" s="1776" t="s">
        <v>2244</v>
      </c>
      <c r="B1002" s="1776" t="s">
        <v>16</v>
      </c>
      <c r="C1002" s="1776" t="s">
        <v>2955</v>
      </c>
      <c r="D1002" s="1776" t="s">
        <v>2956</v>
      </c>
      <c r="E1002" s="1776" t="s">
        <v>2957</v>
      </c>
      <c r="F1002" s="1776" t="s">
        <v>2527</v>
      </c>
      <c r="G1002" s="1776" t="s">
        <v>22</v>
      </c>
      <c r="H1002" s="1776" t="s">
        <v>2958</v>
      </c>
      <c r="I1002" s="1776" t="s">
        <v>905</v>
      </c>
    </row>
    <row r="1003" spans="1:9" ht="11.25" customHeight="1">
      <c r="A1003" s="1776" t="s">
        <v>2244</v>
      </c>
      <c r="B1003" s="1776" t="s">
        <v>16</v>
      </c>
      <c r="C1003" s="1776" t="s">
        <v>2963</v>
      </c>
      <c r="D1003" s="1776" t="s">
        <v>2964</v>
      </c>
      <c r="E1003" s="1776" t="s">
        <v>2965</v>
      </c>
      <c r="F1003" s="1776" t="s">
        <v>2701</v>
      </c>
      <c r="G1003" s="1776" t="s">
        <v>22</v>
      </c>
      <c r="H1003" s="1776" t="s">
        <v>22</v>
      </c>
      <c r="I1003" s="1776" t="s">
        <v>905</v>
      </c>
    </row>
    <row r="1004" spans="1:9" ht="11.25" customHeight="1">
      <c r="A1004" s="1776" t="s">
        <v>2244</v>
      </c>
      <c r="B1004" s="1776" t="s">
        <v>16</v>
      </c>
      <c r="C1004" s="1776" t="s">
        <v>2966</v>
      </c>
      <c r="D1004" s="1776" t="s">
        <v>2967</v>
      </c>
      <c r="E1004" s="1776" t="s">
        <v>2968</v>
      </c>
      <c r="F1004" s="1776" t="s">
        <v>2344</v>
      </c>
      <c r="G1004" s="1776" t="s">
        <v>22</v>
      </c>
      <c r="H1004" s="1776" t="s">
        <v>22</v>
      </c>
      <c r="I1004" s="1776" t="s">
        <v>905</v>
      </c>
    </row>
    <row r="1005" spans="1:9" ht="11.25" customHeight="1">
      <c r="A1005" s="1776" t="s">
        <v>2244</v>
      </c>
      <c r="B1005" s="1776" t="s">
        <v>16</v>
      </c>
      <c r="C1005" s="1776" t="s">
        <v>2969</v>
      </c>
      <c r="D1005" s="1776" t="s">
        <v>2970</v>
      </c>
      <c r="E1005" s="1776" t="s">
        <v>2971</v>
      </c>
      <c r="F1005" s="1776" t="s">
        <v>2302</v>
      </c>
      <c r="G1005" s="1776" t="s">
        <v>22</v>
      </c>
      <c r="H1005" s="1776" t="s">
        <v>22</v>
      </c>
      <c r="I1005" s="1776" t="s">
        <v>905</v>
      </c>
    </row>
    <row r="1006" spans="1:9" ht="11.25" customHeight="1">
      <c r="A1006" s="1776" t="s">
        <v>2244</v>
      </c>
      <c r="B1006" s="1776" t="s">
        <v>16</v>
      </c>
      <c r="C1006" s="1776" t="s">
        <v>2978</v>
      </c>
      <c r="D1006" s="1776" t="s">
        <v>2979</v>
      </c>
      <c r="E1006" s="1776" t="s">
        <v>2980</v>
      </c>
      <c r="F1006" s="1776" t="s">
        <v>2679</v>
      </c>
      <c r="G1006" s="1776" t="s">
        <v>22</v>
      </c>
      <c r="H1006" s="1776" t="s">
        <v>22</v>
      </c>
      <c r="I1006" s="1776" t="s">
        <v>905</v>
      </c>
    </row>
    <row r="1007" spans="1:9" ht="11.25" customHeight="1">
      <c r="A1007" s="1776" t="s">
        <v>2244</v>
      </c>
      <c r="B1007" s="1776" t="s">
        <v>16</v>
      </c>
      <c r="C1007" s="1776" t="s">
        <v>4035</v>
      </c>
      <c r="D1007" s="1776" t="s">
        <v>4036</v>
      </c>
      <c r="E1007" s="1776" t="s">
        <v>4037</v>
      </c>
      <c r="F1007" s="1776" t="s">
        <v>2887</v>
      </c>
      <c r="G1007" s="1776" t="s">
        <v>22</v>
      </c>
      <c r="H1007" s="1776" t="s">
        <v>22</v>
      </c>
      <c r="I1007" s="1776" t="s">
        <v>905</v>
      </c>
    </row>
    <row r="1008" spans="1:9" ht="11.25" customHeight="1">
      <c r="A1008" s="1776" t="s">
        <v>2244</v>
      </c>
      <c r="B1008" s="1776" t="s">
        <v>16</v>
      </c>
      <c r="C1008" s="1776" t="s">
        <v>2987</v>
      </c>
      <c r="D1008" s="1776" t="s">
        <v>2988</v>
      </c>
      <c r="E1008" s="1776" t="s">
        <v>2559</v>
      </c>
      <c r="F1008" s="1776" t="s">
        <v>2989</v>
      </c>
      <c r="G1008" s="1776" t="s">
        <v>22</v>
      </c>
      <c r="H1008" s="1776" t="s">
        <v>22</v>
      </c>
      <c r="I1008" s="1776" t="s">
        <v>905</v>
      </c>
    </row>
    <row r="1009" spans="1:9" ht="11.25" customHeight="1">
      <c r="A1009" s="1776" t="s">
        <v>2244</v>
      </c>
      <c r="B1009" s="1776" t="s">
        <v>16</v>
      </c>
      <c r="C1009" s="1776" t="s">
        <v>2993</v>
      </c>
      <c r="D1009" s="1776" t="s">
        <v>2994</v>
      </c>
      <c r="E1009" s="1776" t="s">
        <v>2995</v>
      </c>
      <c r="F1009" s="1776" t="s">
        <v>2266</v>
      </c>
      <c r="G1009" s="1776" t="s">
        <v>22</v>
      </c>
      <c r="H1009" s="1776" t="s">
        <v>22</v>
      </c>
      <c r="I1009" s="1776" t="s">
        <v>905</v>
      </c>
    </row>
    <row r="1010" spans="1:9" ht="11.25" customHeight="1">
      <c r="A1010" s="1776" t="s">
        <v>2244</v>
      </c>
      <c r="B1010" s="1776" t="s">
        <v>16</v>
      </c>
      <c r="C1010" s="1776" t="s">
        <v>3860</v>
      </c>
      <c r="D1010" s="1776" t="s">
        <v>3861</v>
      </c>
      <c r="E1010" s="1776" t="s">
        <v>3862</v>
      </c>
      <c r="F1010" s="1776" t="s">
        <v>2309</v>
      </c>
      <c r="G1010" s="1776" t="s">
        <v>22</v>
      </c>
      <c r="H1010" s="1776" t="s">
        <v>22</v>
      </c>
      <c r="I1010" s="1776" t="s">
        <v>905</v>
      </c>
    </row>
    <row r="1011" spans="1:9" ht="11.25" customHeight="1">
      <c r="A1011" s="1776" t="s">
        <v>2244</v>
      </c>
      <c r="B1011" s="1776" t="s">
        <v>16</v>
      </c>
      <c r="C1011" s="1776" t="s">
        <v>2999</v>
      </c>
      <c r="D1011" s="1776" t="s">
        <v>3000</v>
      </c>
      <c r="E1011" s="1776" t="s">
        <v>3001</v>
      </c>
      <c r="F1011" s="1776" t="s">
        <v>2252</v>
      </c>
      <c r="G1011" s="1776" t="s">
        <v>22</v>
      </c>
      <c r="H1011" s="1776" t="s">
        <v>22</v>
      </c>
      <c r="I1011" s="1776" t="s">
        <v>905</v>
      </c>
    </row>
    <row r="1012" spans="1:9" ht="11.25" customHeight="1">
      <c r="A1012" s="1776" t="s">
        <v>2244</v>
      </c>
      <c r="B1012" s="1776" t="s">
        <v>16</v>
      </c>
      <c r="C1012" s="1776" t="s">
        <v>3002</v>
      </c>
      <c r="D1012" s="1776" t="s">
        <v>3003</v>
      </c>
      <c r="E1012" s="1776" t="s">
        <v>3004</v>
      </c>
      <c r="F1012" s="1776" t="s">
        <v>2511</v>
      </c>
      <c r="G1012" s="1776" t="s">
        <v>22</v>
      </c>
      <c r="H1012" s="1776" t="s">
        <v>22</v>
      </c>
      <c r="I1012" s="1776" t="s">
        <v>905</v>
      </c>
    </row>
    <row r="1013" spans="1:9" ht="11.25" customHeight="1">
      <c r="A1013" s="1776" t="s">
        <v>2244</v>
      </c>
      <c r="B1013" s="1776" t="s">
        <v>16</v>
      </c>
      <c r="C1013" s="1776" t="s">
        <v>3005</v>
      </c>
      <c r="D1013" s="1776" t="s">
        <v>3006</v>
      </c>
      <c r="E1013" s="1776" t="s">
        <v>3007</v>
      </c>
      <c r="F1013" s="1776" t="s">
        <v>3008</v>
      </c>
      <c r="G1013" s="1776" t="s">
        <v>22</v>
      </c>
      <c r="H1013" s="1776" t="s">
        <v>22</v>
      </c>
      <c r="I1013" s="1776" t="s">
        <v>905</v>
      </c>
    </row>
    <row r="1014" spans="1:9" ht="11.25" customHeight="1">
      <c r="A1014" s="1776" t="s">
        <v>2244</v>
      </c>
      <c r="B1014" s="1776" t="s">
        <v>16</v>
      </c>
      <c r="C1014" s="1776" t="s">
        <v>4038</v>
      </c>
      <c r="D1014" s="1776" t="s">
        <v>4039</v>
      </c>
      <c r="E1014" s="1776" t="s">
        <v>4040</v>
      </c>
      <c r="F1014" s="1776" t="s">
        <v>2252</v>
      </c>
      <c r="G1014" s="1776" t="s">
        <v>22</v>
      </c>
      <c r="H1014" s="1776" t="s">
        <v>22</v>
      </c>
      <c r="I1014" s="1776" t="s">
        <v>905</v>
      </c>
    </row>
    <row r="1015" spans="1:9" ht="11.25" customHeight="1">
      <c r="A1015" s="1776" t="s">
        <v>2244</v>
      </c>
      <c r="B1015" s="1776" t="s">
        <v>16</v>
      </c>
      <c r="C1015" s="1776" t="s">
        <v>3863</v>
      </c>
      <c r="D1015" s="1776" t="s">
        <v>3864</v>
      </c>
      <c r="E1015" s="1776" t="s">
        <v>3865</v>
      </c>
      <c r="F1015" s="1776" t="s">
        <v>2266</v>
      </c>
      <c r="G1015" s="1776" t="s">
        <v>3866</v>
      </c>
      <c r="H1015" s="1776" t="s">
        <v>22</v>
      </c>
      <c r="I1015" s="1776" t="s">
        <v>905</v>
      </c>
    </row>
    <row r="1016" spans="1:9" ht="11.25" customHeight="1">
      <c r="A1016" s="1776" t="s">
        <v>2244</v>
      </c>
      <c r="B1016" s="1776" t="s">
        <v>16</v>
      </c>
      <c r="C1016" s="1776" t="s">
        <v>3867</v>
      </c>
      <c r="D1016" s="1776" t="s">
        <v>3868</v>
      </c>
      <c r="E1016" s="1776" t="s">
        <v>3869</v>
      </c>
      <c r="F1016" s="1776" t="s">
        <v>2446</v>
      </c>
      <c r="G1016" s="1776" t="s">
        <v>22</v>
      </c>
      <c r="H1016" s="1776" t="s">
        <v>22</v>
      </c>
      <c r="I1016" s="1776" t="s">
        <v>905</v>
      </c>
    </row>
    <row r="1017" spans="1:9" ht="11.25" customHeight="1">
      <c r="A1017" s="1776" t="s">
        <v>2244</v>
      </c>
      <c r="B1017" s="1776" t="s">
        <v>16</v>
      </c>
      <c r="C1017" s="1776" t="s">
        <v>4041</v>
      </c>
      <c r="D1017" s="1776" t="s">
        <v>4042</v>
      </c>
      <c r="E1017" s="1776" t="s">
        <v>4043</v>
      </c>
      <c r="F1017" s="1776" t="s">
        <v>2276</v>
      </c>
      <c r="G1017" s="1776" t="s">
        <v>22</v>
      </c>
      <c r="H1017" s="1776" t="s">
        <v>22</v>
      </c>
      <c r="I1017" s="1776" t="s">
        <v>905</v>
      </c>
    </row>
    <row r="1018" spans="1:9" ht="11.25" customHeight="1">
      <c r="A1018" s="1776" t="s">
        <v>2244</v>
      </c>
      <c r="B1018" s="1776" t="s">
        <v>16</v>
      </c>
      <c r="C1018" s="1776" t="s">
        <v>4044</v>
      </c>
      <c r="D1018" s="1776" t="s">
        <v>4045</v>
      </c>
      <c r="E1018" s="1776" t="s">
        <v>4046</v>
      </c>
      <c r="F1018" s="1776" t="s">
        <v>2294</v>
      </c>
      <c r="G1018" s="1776" t="s">
        <v>22</v>
      </c>
      <c r="H1018" s="1776" t="s">
        <v>22</v>
      </c>
      <c r="I1018" s="1776" t="s">
        <v>905</v>
      </c>
    </row>
    <row r="1019" spans="1:9" ht="11.25" customHeight="1">
      <c r="A1019" s="1776" t="s">
        <v>2244</v>
      </c>
      <c r="B1019" s="1776" t="s">
        <v>16</v>
      </c>
      <c r="C1019" s="1776" t="s">
        <v>3870</v>
      </c>
      <c r="D1019" s="1776" t="s">
        <v>3871</v>
      </c>
      <c r="E1019" s="1776" t="s">
        <v>3872</v>
      </c>
      <c r="F1019" s="1776" t="s">
        <v>3070</v>
      </c>
      <c r="G1019" s="1776" t="s">
        <v>22</v>
      </c>
      <c r="H1019" s="1776" t="s">
        <v>22</v>
      </c>
      <c r="I1019" s="1776" t="s">
        <v>905</v>
      </c>
    </row>
    <row r="1020" spans="1:9" ht="11.25" customHeight="1">
      <c r="A1020" s="1776" t="s">
        <v>2244</v>
      </c>
      <c r="B1020" s="1776" t="s">
        <v>16</v>
      </c>
      <c r="C1020" s="1776" t="s">
        <v>3873</v>
      </c>
      <c r="D1020" s="1776" t="s">
        <v>3874</v>
      </c>
      <c r="E1020" s="1776" t="s">
        <v>3875</v>
      </c>
      <c r="F1020" s="1776" t="s">
        <v>2639</v>
      </c>
      <c r="G1020" s="1776" t="s">
        <v>22</v>
      </c>
      <c r="H1020" s="1776" t="s">
        <v>22</v>
      </c>
      <c r="I1020" s="1776" t="s">
        <v>905</v>
      </c>
    </row>
    <row r="1021" spans="1:9" ht="11.25" customHeight="1">
      <c r="A1021" s="1776" t="s">
        <v>2244</v>
      </c>
      <c r="B1021" s="1776" t="s">
        <v>16</v>
      </c>
      <c r="C1021" s="1776" t="s">
        <v>4047</v>
      </c>
      <c r="D1021" s="1776" t="s">
        <v>4048</v>
      </c>
      <c r="E1021" s="1776" t="s">
        <v>4049</v>
      </c>
      <c r="F1021" s="1776" t="s">
        <v>2372</v>
      </c>
      <c r="G1021" s="1776" t="s">
        <v>4050</v>
      </c>
      <c r="H1021" s="1776" t="s">
        <v>22</v>
      </c>
      <c r="I1021" s="1776" t="s">
        <v>905</v>
      </c>
    </row>
    <row r="1022" spans="1:9" ht="11.25" customHeight="1">
      <c r="A1022" s="1776" t="s">
        <v>2244</v>
      </c>
      <c r="B1022" s="1776" t="s">
        <v>16</v>
      </c>
      <c r="C1022" s="1776" t="s">
        <v>3879</v>
      </c>
      <c r="D1022" s="1776" t="s">
        <v>3880</v>
      </c>
      <c r="E1022" s="1776" t="s">
        <v>3881</v>
      </c>
      <c r="F1022" s="1776" t="s">
        <v>2887</v>
      </c>
      <c r="G1022" s="1776" t="s">
        <v>22</v>
      </c>
      <c r="H1022" s="1776" t="s">
        <v>22</v>
      </c>
      <c r="I1022" s="1776" t="s">
        <v>905</v>
      </c>
    </row>
    <row r="1023" spans="1:9" ht="11.25" customHeight="1">
      <c r="A1023" s="1776" t="s">
        <v>2244</v>
      </c>
      <c r="B1023" s="1776" t="s">
        <v>16</v>
      </c>
      <c r="C1023" s="1776" t="s">
        <v>3882</v>
      </c>
      <c r="D1023" s="1776" t="s">
        <v>3883</v>
      </c>
      <c r="E1023" s="1776" t="s">
        <v>3884</v>
      </c>
      <c r="F1023" s="1776" t="s">
        <v>2627</v>
      </c>
      <c r="G1023" s="1776" t="s">
        <v>22</v>
      </c>
      <c r="H1023" s="1776" t="s">
        <v>22</v>
      </c>
      <c r="I1023" s="1776" t="s">
        <v>905</v>
      </c>
    </row>
    <row r="1024" spans="1:9" ht="11.25" customHeight="1">
      <c r="A1024" s="1776" t="s">
        <v>2244</v>
      </c>
      <c r="B1024" s="1776" t="s">
        <v>16</v>
      </c>
      <c r="C1024" s="1776" t="s">
        <v>3885</v>
      </c>
      <c r="D1024" s="1776" t="s">
        <v>3886</v>
      </c>
      <c r="E1024" s="1776" t="s">
        <v>3887</v>
      </c>
      <c r="F1024" s="1776" t="s">
        <v>2491</v>
      </c>
      <c r="G1024" s="1776" t="s">
        <v>22</v>
      </c>
      <c r="H1024" s="1776" t="s">
        <v>22</v>
      </c>
      <c r="I1024" s="1776" t="s">
        <v>905</v>
      </c>
    </row>
    <row r="1025" spans="1:9" ht="11.25" customHeight="1">
      <c r="A1025" s="1776" t="s">
        <v>2244</v>
      </c>
      <c r="B1025" s="1776" t="s">
        <v>16</v>
      </c>
      <c r="C1025" s="1776" t="s">
        <v>4051</v>
      </c>
      <c r="D1025" s="1776" t="s">
        <v>4052</v>
      </c>
      <c r="E1025" s="1776" t="s">
        <v>4053</v>
      </c>
      <c r="F1025" s="1776" t="s">
        <v>4054</v>
      </c>
      <c r="G1025" s="1776" t="s">
        <v>4055</v>
      </c>
      <c r="H1025" s="1776" t="s">
        <v>22</v>
      </c>
      <c r="I1025" s="1776" t="s">
        <v>905</v>
      </c>
    </row>
    <row r="1026" spans="1:9" ht="11.25" customHeight="1">
      <c r="A1026" s="1776" t="s">
        <v>2244</v>
      </c>
      <c r="B1026" s="1776" t="s">
        <v>16</v>
      </c>
      <c r="C1026" s="1776" t="s">
        <v>3890</v>
      </c>
      <c r="D1026" s="1776" t="s">
        <v>3891</v>
      </c>
      <c r="E1026" s="1776" t="s">
        <v>3892</v>
      </c>
      <c r="F1026" s="1776" t="s">
        <v>2294</v>
      </c>
      <c r="G1026" s="1776" t="s">
        <v>22</v>
      </c>
      <c r="H1026" s="1776" t="s">
        <v>22</v>
      </c>
      <c r="I1026" s="1776" t="s">
        <v>905</v>
      </c>
    </row>
    <row r="1027" spans="1:9" ht="11.25" customHeight="1">
      <c r="A1027" s="1776" t="s">
        <v>2244</v>
      </c>
      <c r="B1027" s="1776" t="s">
        <v>16</v>
      </c>
      <c r="C1027" s="1776" t="s">
        <v>3096</v>
      </c>
      <c r="D1027" s="1776" t="s">
        <v>3097</v>
      </c>
      <c r="E1027" s="1776" t="s">
        <v>3098</v>
      </c>
      <c r="F1027" s="1776" t="s">
        <v>2519</v>
      </c>
      <c r="G1027" s="1776" t="s">
        <v>22</v>
      </c>
      <c r="H1027" s="1776" t="s">
        <v>22</v>
      </c>
      <c r="I1027" s="1776" t="s">
        <v>905</v>
      </c>
    </row>
    <row r="1028" spans="1:9" ht="11.25" customHeight="1">
      <c r="A1028" s="1776" t="s">
        <v>2244</v>
      </c>
      <c r="B1028" s="1776" t="s">
        <v>16</v>
      </c>
      <c r="C1028" s="1776" t="s">
        <v>3893</v>
      </c>
      <c r="D1028" s="1776" t="s">
        <v>3894</v>
      </c>
      <c r="E1028" s="1776" t="s">
        <v>3895</v>
      </c>
      <c r="F1028" s="1776" t="s">
        <v>3896</v>
      </c>
      <c r="G1028" s="1776" t="s">
        <v>22</v>
      </c>
      <c r="H1028" s="1776" t="s">
        <v>22</v>
      </c>
      <c r="I1028" s="1776" t="s">
        <v>905</v>
      </c>
    </row>
    <row r="1029" spans="1:9" ht="11.25" customHeight="1">
      <c r="A1029" s="1776" t="s">
        <v>2244</v>
      </c>
      <c r="B1029" s="1776" t="s">
        <v>16</v>
      </c>
      <c r="C1029" s="1776" t="s">
        <v>4056</v>
      </c>
      <c r="D1029" s="1776" t="s">
        <v>4057</v>
      </c>
      <c r="E1029" s="1776" t="s">
        <v>4058</v>
      </c>
      <c r="F1029" s="1776" t="s">
        <v>2252</v>
      </c>
      <c r="G1029" s="1776" t="s">
        <v>22</v>
      </c>
      <c r="H1029" s="1776" t="s">
        <v>22</v>
      </c>
      <c r="I1029" s="1776" t="s">
        <v>905</v>
      </c>
    </row>
    <row r="1030" spans="1:9" ht="11.25" customHeight="1">
      <c r="A1030" s="1776" t="s">
        <v>2244</v>
      </c>
      <c r="B1030" s="1776" t="s">
        <v>16</v>
      </c>
      <c r="C1030" s="1776" t="s">
        <v>3130</v>
      </c>
      <c r="D1030" s="1776" t="s">
        <v>3131</v>
      </c>
      <c r="E1030" s="1776" t="s">
        <v>3132</v>
      </c>
      <c r="F1030" s="1776" t="s">
        <v>2323</v>
      </c>
      <c r="G1030" s="1776" t="s">
        <v>22</v>
      </c>
      <c r="H1030" s="1776" t="s">
        <v>22</v>
      </c>
      <c r="I1030" s="1776" t="s">
        <v>905</v>
      </c>
    </row>
    <row r="1031" spans="1:9" ht="11.25" customHeight="1">
      <c r="A1031" s="1776" t="s">
        <v>2244</v>
      </c>
      <c r="B1031" s="1776" t="s">
        <v>16</v>
      </c>
      <c r="C1031" s="1776" t="s">
        <v>3897</v>
      </c>
      <c r="D1031" s="1776" t="s">
        <v>3898</v>
      </c>
      <c r="E1031" s="1776" t="s">
        <v>3899</v>
      </c>
      <c r="F1031" s="1776" t="s">
        <v>2302</v>
      </c>
      <c r="G1031" s="1776" t="s">
        <v>22</v>
      </c>
      <c r="H1031" s="1776" t="s">
        <v>22</v>
      </c>
      <c r="I1031" s="1776" t="s">
        <v>905</v>
      </c>
    </row>
    <row r="1032" spans="1:9" ht="11.25" customHeight="1">
      <c r="A1032" s="1776" t="s">
        <v>2244</v>
      </c>
      <c r="B1032" s="1776" t="s">
        <v>16</v>
      </c>
      <c r="C1032" s="1776" t="s">
        <v>3133</v>
      </c>
      <c r="D1032" s="1776" t="s">
        <v>3134</v>
      </c>
      <c r="E1032" s="1776" t="s">
        <v>3135</v>
      </c>
      <c r="F1032" s="1776" t="s">
        <v>2446</v>
      </c>
      <c r="G1032" s="1776" t="s">
        <v>22</v>
      </c>
      <c r="H1032" s="1776" t="s">
        <v>22</v>
      </c>
      <c r="I1032" s="1776" t="s">
        <v>905</v>
      </c>
    </row>
    <row r="1033" spans="1:9" ht="11.25" customHeight="1">
      <c r="A1033" s="1776" t="s">
        <v>2244</v>
      </c>
      <c r="B1033" s="1776" t="s">
        <v>16</v>
      </c>
      <c r="C1033" s="1776" t="s">
        <v>3900</v>
      </c>
      <c r="D1033" s="1776" t="s">
        <v>3901</v>
      </c>
      <c r="E1033" s="1776" t="s">
        <v>3902</v>
      </c>
      <c r="F1033" s="1776" t="s">
        <v>2887</v>
      </c>
      <c r="G1033" s="1776" t="s">
        <v>22</v>
      </c>
      <c r="H1033" s="1776" t="s">
        <v>22</v>
      </c>
      <c r="I1033" s="1776" t="s">
        <v>905</v>
      </c>
    </row>
    <row r="1034" spans="1:9" ht="11.25" customHeight="1">
      <c r="A1034" s="1776" t="s">
        <v>2244</v>
      </c>
      <c r="B1034" s="1776" t="s">
        <v>16</v>
      </c>
      <c r="C1034" s="1776" t="s">
        <v>3143</v>
      </c>
      <c r="D1034" s="1776" t="s">
        <v>3144</v>
      </c>
      <c r="E1034" s="1776" t="s">
        <v>3145</v>
      </c>
      <c r="F1034" s="1776" t="s">
        <v>2261</v>
      </c>
      <c r="G1034" s="1776" t="s">
        <v>22</v>
      </c>
      <c r="H1034" s="1776" t="s">
        <v>22</v>
      </c>
      <c r="I1034" s="1776" t="s">
        <v>905</v>
      </c>
    </row>
    <row r="1035" spans="1:9" ht="11.25" customHeight="1">
      <c r="A1035" s="1776" t="s">
        <v>2244</v>
      </c>
      <c r="B1035" s="1776" t="s">
        <v>16</v>
      </c>
      <c r="C1035" s="1776" t="s">
        <v>3146</v>
      </c>
      <c r="D1035" s="1776" t="s">
        <v>3147</v>
      </c>
      <c r="E1035" s="1776" t="s">
        <v>3148</v>
      </c>
      <c r="F1035" s="1776" t="s">
        <v>2473</v>
      </c>
      <c r="G1035" s="1776" t="s">
        <v>22</v>
      </c>
      <c r="H1035" s="1776" t="s">
        <v>22</v>
      </c>
      <c r="I1035" s="1776" t="s">
        <v>905</v>
      </c>
    </row>
    <row r="1036" spans="1:9" ht="11.25" customHeight="1">
      <c r="A1036" s="1776" t="s">
        <v>2244</v>
      </c>
      <c r="B1036" s="1776" t="s">
        <v>16</v>
      </c>
      <c r="C1036" s="1776" t="s">
        <v>3903</v>
      </c>
      <c r="D1036" s="1776" t="s">
        <v>3904</v>
      </c>
      <c r="E1036" s="1776" t="s">
        <v>3905</v>
      </c>
      <c r="F1036" s="1776" t="s">
        <v>2309</v>
      </c>
      <c r="G1036" s="1776" t="s">
        <v>22</v>
      </c>
      <c r="H1036" s="1776" t="s">
        <v>22</v>
      </c>
      <c r="I1036" s="1776" t="s">
        <v>905</v>
      </c>
    </row>
    <row r="1037" spans="1:9" ht="11.25" customHeight="1">
      <c r="A1037" s="1776" t="s">
        <v>2244</v>
      </c>
      <c r="B1037" s="1776" t="s">
        <v>16</v>
      </c>
      <c r="C1037" s="1776" t="s">
        <v>3906</v>
      </c>
      <c r="D1037" s="1776" t="s">
        <v>3907</v>
      </c>
      <c r="E1037" s="1776" t="s">
        <v>3908</v>
      </c>
      <c r="F1037" s="1776" t="s">
        <v>2309</v>
      </c>
      <c r="G1037" s="1776" t="s">
        <v>22</v>
      </c>
      <c r="H1037" s="1776" t="s">
        <v>22</v>
      </c>
      <c r="I1037" s="1776" t="s">
        <v>905</v>
      </c>
    </row>
    <row r="1038" spans="1:9" ht="11.25" customHeight="1">
      <c r="A1038" s="1776" t="s">
        <v>2244</v>
      </c>
      <c r="B1038" s="1776" t="s">
        <v>16</v>
      </c>
      <c r="C1038" s="1776" t="s">
        <v>3909</v>
      </c>
      <c r="D1038" s="1776" t="s">
        <v>3910</v>
      </c>
      <c r="E1038" s="1776" t="s">
        <v>3911</v>
      </c>
      <c r="F1038" s="1776" t="s">
        <v>2323</v>
      </c>
      <c r="G1038" s="1776" t="s">
        <v>22</v>
      </c>
      <c r="H1038" s="1776" t="s">
        <v>22</v>
      </c>
      <c r="I1038" s="1776" t="s">
        <v>905</v>
      </c>
    </row>
    <row r="1039" spans="1:9" ht="11.25" customHeight="1">
      <c r="A1039" s="1776" t="s">
        <v>2244</v>
      </c>
      <c r="B1039" s="1776" t="s">
        <v>16</v>
      </c>
      <c r="C1039" s="1776" t="s">
        <v>3165</v>
      </c>
      <c r="D1039" s="1776" t="s">
        <v>3166</v>
      </c>
      <c r="E1039" s="1776" t="s">
        <v>3167</v>
      </c>
      <c r="F1039" s="1776" t="s">
        <v>2382</v>
      </c>
      <c r="G1039" s="1776" t="s">
        <v>3168</v>
      </c>
      <c r="H1039" s="1776" t="s">
        <v>22</v>
      </c>
      <c r="I1039" s="1776" t="s">
        <v>905</v>
      </c>
    </row>
    <row r="1040" spans="1:9" ht="11.25" customHeight="1">
      <c r="A1040" s="1776" t="s">
        <v>2244</v>
      </c>
      <c r="B1040" s="1776" t="s">
        <v>16</v>
      </c>
      <c r="C1040" s="1776" t="s">
        <v>3912</v>
      </c>
      <c r="D1040" s="1776" t="s">
        <v>3913</v>
      </c>
      <c r="E1040" s="1776" t="s">
        <v>3914</v>
      </c>
      <c r="F1040" s="1776" t="s">
        <v>2758</v>
      </c>
      <c r="G1040" s="1776" t="s">
        <v>22</v>
      </c>
      <c r="H1040" s="1776" t="s">
        <v>22</v>
      </c>
      <c r="I1040" s="1776" t="s">
        <v>905</v>
      </c>
    </row>
    <row r="1041" spans="1:9" ht="11.25" customHeight="1">
      <c r="A1041" s="1776" t="s">
        <v>2244</v>
      </c>
      <c r="B1041" s="1776" t="s">
        <v>16</v>
      </c>
      <c r="C1041" s="1776" t="s">
        <v>3169</v>
      </c>
      <c r="D1041" s="1776" t="s">
        <v>3170</v>
      </c>
      <c r="E1041" s="1776" t="s">
        <v>3171</v>
      </c>
      <c r="F1041" s="1776" t="s">
        <v>2287</v>
      </c>
      <c r="G1041" s="1776" t="s">
        <v>22</v>
      </c>
      <c r="H1041" s="1776" t="s">
        <v>22</v>
      </c>
      <c r="I1041" s="1776" t="s">
        <v>905</v>
      </c>
    </row>
    <row r="1042" spans="1:9" ht="11.25" customHeight="1">
      <c r="A1042" s="1776" t="s">
        <v>2244</v>
      </c>
      <c r="B1042" s="1776" t="s">
        <v>16</v>
      </c>
      <c r="C1042" s="1776" t="s">
        <v>3189</v>
      </c>
      <c r="D1042" s="1776" t="s">
        <v>3190</v>
      </c>
      <c r="E1042" s="1776" t="s">
        <v>3191</v>
      </c>
      <c r="F1042" s="1776" t="s">
        <v>2382</v>
      </c>
      <c r="G1042" s="1776" t="s">
        <v>22</v>
      </c>
      <c r="H1042" s="1776" t="s">
        <v>22</v>
      </c>
      <c r="I1042" s="1776" t="s">
        <v>905</v>
      </c>
    </row>
    <row r="1043" spans="1:9" ht="11.25" customHeight="1">
      <c r="A1043" s="1776" t="s">
        <v>2244</v>
      </c>
      <c r="B1043" s="1776" t="s">
        <v>16</v>
      </c>
      <c r="C1043" s="1776" t="s">
        <v>3915</v>
      </c>
      <c r="D1043" s="1776" t="s">
        <v>3190</v>
      </c>
      <c r="E1043" s="1776" t="s">
        <v>3916</v>
      </c>
      <c r="F1043" s="1776" t="s">
        <v>2252</v>
      </c>
      <c r="G1043" s="1776" t="s">
        <v>22</v>
      </c>
      <c r="H1043" s="1776" t="s">
        <v>22</v>
      </c>
      <c r="I1043" s="1776" t="s">
        <v>905</v>
      </c>
    </row>
    <row r="1044" spans="1:9" ht="11.25" customHeight="1">
      <c r="A1044" s="1776" t="s">
        <v>2244</v>
      </c>
      <c r="B1044" s="1776" t="s">
        <v>16</v>
      </c>
      <c r="C1044" s="1776" t="s">
        <v>3192</v>
      </c>
      <c r="D1044" s="1776" t="s">
        <v>3193</v>
      </c>
      <c r="E1044" s="1776" t="s">
        <v>3194</v>
      </c>
      <c r="F1044" s="1776" t="s">
        <v>2534</v>
      </c>
      <c r="G1044" s="1776" t="s">
        <v>22</v>
      </c>
      <c r="H1044" s="1776" t="s">
        <v>22</v>
      </c>
      <c r="I1044" s="1776" t="s">
        <v>905</v>
      </c>
    </row>
    <row r="1045" spans="1:9" ht="11.25" customHeight="1">
      <c r="A1045" s="1776" t="s">
        <v>2244</v>
      </c>
      <c r="B1045" s="1776" t="s">
        <v>16</v>
      </c>
      <c r="C1045" s="1776" t="s">
        <v>3917</v>
      </c>
      <c r="D1045" s="1776" t="s">
        <v>3918</v>
      </c>
      <c r="E1045" s="1776" t="s">
        <v>3919</v>
      </c>
      <c r="F1045" s="1776" t="s">
        <v>2705</v>
      </c>
      <c r="G1045" s="1776" t="s">
        <v>22</v>
      </c>
      <c r="H1045" s="1776" t="s">
        <v>22</v>
      </c>
      <c r="I1045" s="1776" t="s">
        <v>905</v>
      </c>
    </row>
    <row r="1046" spans="1:9" ht="11.25" customHeight="1">
      <c r="A1046" s="1776" t="s">
        <v>2244</v>
      </c>
      <c r="B1046" s="1776" t="s">
        <v>16</v>
      </c>
      <c r="C1046" s="1776" t="s">
        <v>3920</v>
      </c>
      <c r="D1046" s="1776" t="s">
        <v>3921</v>
      </c>
      <c r="E1046" s="1776" t="s">
        <v>3922</v>
      </c>
      <c r="F1046" s="1776" t="s">
        <v>2679</v>
      </c>
      <c r="G1046" s="1776" t="s">
        <v>22</v>
      </c>
      <c r="H1046" s="1776" t="s">
        <v>22</v>
      </c>
      <c r="I1046" s="1776" t="s">
        <v>905</v>
      </c>
    </row>
    <row r="1047" spans="1:9" ht="11.25" customHeight="1">
      <c r="A1047" s="1776" t="s">
        <v>2244</v>
      </c>
      <c r="B1047" s="1776" t="s">
        <v>16</v>
      </c>
      <c r="C1047" s="1776" t="s">
        <v>3208</v>
      </c>
      <c r="D1047" s="1776" t="s">
        <v>3209</v>
      </c>
      <c r="E1047" s="1776" t="s">
        <v>3210</v>
      </c>
      <c r="F1047" s="1776" t="s">
        <v>2808</v>
      </c>
      <c r="G1047" s="1776" t="s">
        <v>3211</v>
      </c>
      <c r="H1047" s="1776" t="s">
        <v>22</v>
      </c>
      <c r="I1047" s="1776" t="s">
        <v>905</v>
      </c>
    </row>
    <row r="1048" spans="1:9" ht="11.25" customHeight="1">
      <c r="A1048" s="1776" t="s">
        <v>2244</v>
      </c>
      <c r="B1048" s="1776" t="s">
        <v>16</v>
      </c>
      <c r="C1048" s="1776" t="s">
        <v>4059</v>
      </c>
      <c r="D1048" s="1776" t="s">
        <v>4060</v>
      </c>
      <c r="E1048" s="1776" t="s">
        <v>4061</v>
      </c>
      <c r="F1048" s="1776" t="s">
        <v>2550</v>
      </c>
      <c r="G1048" s="1776" t="s">
        <v>22</v>
      </c>
      <c r="H1048" s="1776" t="s">
        <v>22</v>
      </c>
      <c r="I1048" s="1776" t="s">
        <v>905</v>
      </c>
    </row>
    <row r="1049" spans="1:9" ht="11.25" customHeight="1">
      <c r="A1049" s="1776" t="s">
        <v>2244</v>
      </c>
      <c r="B1049" s="1776" t="s">
        <v>16</v>
      </c>
      <c r="C1049" s="1776" t="s">
        <v>3926</v>
      </c>
      <c r="D1049" s="1776" t="s">
        <v>3927</v>
      </c>
      <c r="E1049" s="1776" t="s">
        <v>3928</v>
      </c>
      <c r="F1049" s="1776" t="s">
        <v>2962</v>
      </c>
      <c r="G1049" s="1776" t="s">
        <v>22</v>
      </c>
      <c r="H1049" s="1776" t="s">
        <v>22</v>
      </c>
      <c r="I1049" s="1776" t="s">
        <v>905</v>
      </c>
    </row>
    <row r="1050" spans="1:9" ht="11.25" customHeight="1">
      <c r="A1050" s="1776" t="s">
        <v>2244</v>
      </c>
      <c r="B1050" s="1776" t="s">
        <v>16</v>
      </c>
      <c r="C1050" s="1776" t="s">
        <v>3231</v>
      </c>
      <c r="D1050" s="1776" t="s">
        <v>3232</v>
      </c>
      <c r="E1050" s="1776" t="s">
        <v>3233</v>
      </c>
      <c r="F1050" s="1776" t="s">
        <v>2257</v>
      </c>
      <c r="G1050" s="1776" t="s">
        <v>22</v>
      </c>
      <c r="H1050" s="1776" t="s">
        <v>22</v>
      </c>
      <c r="I1050" s="1776" t="s">
        <v>905</v>
      </c>
    </row>
    <row r="1051" spans="1:9" ht="11.25" customHeight="1">
      <c r="A1051" s="1776" t="s">
        <v>2244</v>
      </c>
      <c r="B1051" s="1776" t="s">
        <v>16</v>
      </c>
      <c r="C1051" s="1776" t="s">
        <v>4062</v>
      </c>
      <c r="D1051" s="1776" t="s">
        <v>4063</v>
      </c>
      <c r="E1051" s="1776" t="s">
        <v>4064</v>
      </c>
      <c r="F1051" s="1776" t="s">
        <v>4065</v>
      </c>
      <c r="G1051" s="1776" t="s">
        <v>22</v>
      </c>
      <c r="H1051" s="1776" t="s">
        <v>22</v>
      </c>
      <c r="I1051" s="1776" t="s">
        <v>905</v>
      </c>
    </row>
    <row r="1052" spans="1:9" ht="11.25" customHeight="1">
      <c r="A1052" s="1776" t="s">
        <v>2244</v>
      </c>
      <c r="B1052" s="1776" t="s">
        <v>16</v>
      </c>
      <c r="C1052" s="1776" t="s">
        <v>4066</v>
      </c>
      <c r="D1052" s="1776" t="s">
        <v>4067</v>
      </c>
      <c r="E1052" s="1776" t="s">
        <v>4068</v>
      </c>
      <c r="F1052" s="1776" t="s">
        <v>2690</v>
      </c>
      <c r="G1052" s="1776" t="s">
        <v>22</v>
      </c>
      <c r="H1052" s="1776" t="s">
        <v>22</v>
      </c>
      <c r="I1052" s="1776" t="s">
        <v>905</v>
      </c>
    </row>
    <row r="1053" spans="1:9" ht="11.25" customHeight="1">
      <c r="A1053" s="1776" t="s">
        <v>2244</v>
      </c>
      <c r="B1053" s="1776" t="s">
        <v>16</v>
      </c>
      <c r="C1053" s="1776" t="s">
        <v>13</v>
      </c>
      <c r="D1053" s="1776" t="s">
        <v>46</v>
      </c>
      <c r="E1053" s="1776" t="s">
        <v>49</v>
      </c>
      <c r="F1053" s="1776" t="s">
        <v>51</v>
      </c>
      <c r="G1053" s="1776" t="s">
        <v>22</v>
      </c>
      <c r="H1053" s="1776" t="s">
        <v>22</v>
      </c>
      <c r="I1053" s="1776" t="s">
        <v>905</v>
      </c>
    </row>
    <row r="1054" spans="1:9" ht="11.25" customHeight="1">
      <c r="A1054" s="1776" t="s">
        <v>2244</v>
      </c>
      <c r="B1054" s="1776" t="s">
        <v>16</v>
      </c>
      <c r="C1054" s="1776" t="s">
        <v>3939</v>
      </c>
      <c r="D1054" s="1776" t="s">
        <v>3940</v>
      </c>
      <c r="E1054" s="1776" t="s">
        <v>3941</v>
      </c>
      <c r="F1054" s="1776" t="s">
        <v>2266</v>
      </c>
      <c r="G1054" s="1776" t="s">
        <v>22</v>
      </c>
      <c r="H1054" s="1776" t="s">
        <v>22</v>
      </c>
      <c r="I1054" s="1776" t="s">
        <v>905</v>
      </c>
    </row>
    <row r="1055" spans="1:9" ht="11.25" customHeight="1">
      <c r="A1055" s="1776" t="s">
        <v>2244</v>
      </c>
      <c r="B1055" s="1776" t="s">
        <v>16</v>
      </c>
      <c r="C1055" s="1776" t="s">
        <v>3942</v>
      </c>
      <c r="D1055" s="1776" t="s">
        <v>3943</v>
      </c>
      <c r="E1055" s="1776" t="s">
        <v>3944</v>
      </c>
      <c r="F1055" s="1776" t="s">
        <v>3298</v>
      </c>
      <c r="G1055" s="1776" t="s">
        <v>22</v>
      </c>
      <c r="H1055" s="1776" t="s">
        <v>22</v>
      </c>
      <c r="I1055" s="1776" t="s">
        <v>905</v>
      </c>
    </row>
    <row r="1056" spans="1:9" ht="11.25" customHeight="1">
      <c r="A1056" s="1776" t="s">
        <v>2244</v>
      </c>
      <c r="B1056" s="1776" t="s">
        <v>16</v>
      </c>
      <c r="C1056" s="1776" t="s">
        <v>3945</v>
      </c>
      <c r="D1056" s="1776" t="s">
        <v>3946</v>
      </c>
      <c r="E1056" s="1776" t="s">
        <v>3947</v>
      </c>
      <c r="F1056" s="1776" t="s">
        <v>2309</v>
      </c>
      <c r="G1056" s="1776" t="s">
        <v>3948</v>
      </c>
      <c r="H1056" s="1776" t="s">
        <v>22</v>
      </c>
      <c r="I1056" s="1776" t="s">
        <v>905</v>
      </c>
    </row>
    <row r="1057" spans="1:9" ht="11.25" customHeight="1">
      <c r="A1057" s="1776" t="s">
        <v>2244</v>
      </c>
      <c r="B1057" s="1776" t="s">
        <v>16</v>
      </c>
      <c r="C1057" s="1776" t="s">
        <v>3952</v>
      </c>
      <c r="D1057" s="1776" t="s">
        <v>3953</v>
      </c>
      <c r="E1057" s="1776" t="s">
        <v>3954</v>
      </c>
      <c r="F1057" s="1776" t="s">
        <v>2808</v>
      </c>
      <c r="G1057" s="1776" t="s">
        <v>3955</v>
      </c>
      <c r="H1057" s="1776" t="s">
        <v>22</v>
      </c>
      <c r="I1057" s="1776" t="s">
        <v>905</v>
      </c>
    </row>
    <row r="1058" spans="1:9" ht="11.25" customHeight="1">
      <c r="A1058" s="1776" t="s">
        <v>2244</v>
      </c>
      <c r="B1058" s="1776" t="s">
        <v>16</v>
      </c>
      <c r="C1058" s="1776" t="s">
        <v>3320</v>
      </c>
      <c r="D1058" s="1776" t="s">
        <v>3321</v>
      </c>
      <c r="E1058" s="1776" t="s">
        <v>3322</v>
      </c>
      <c r="F1058" s="1776" t="s">
        <v>2302</v>
      </c>
      <c r="G1058" s="1776" t="s">
        <v>22</v>
      </c>
      <c r="H1058" s="1776" t="s">
        <v>22</v>
      </c>
      <c r="I1058" s="1776" t="s">
        <v>905</v>
      </c>
    </row>
    <row r="1059" spans="1:9" ht="11.25" customHeight="1">
      <c r="A1059" s="1776" t="s">
        <v>2244</v>
      </c>
      <c r="B1059" s="1776" t="s">
        <v>16</v>
      </c>
      <c r="C1059" s="1776" t="s">
        <v>3323</v>
      </c>
      <c r="D1059" s="1776" t="s">
        <v>3324</v>
      </c>
      <c r="E1059" s="1776" t="s">
        <v>3325</v>
      </c>
      <c r="F1059" s="1776" t="s">
        <v>2500</v>
      </c>
      <c r="G1059" s="1776" t="s">
        <v>22</v>
      </c>
      <c r="H1059" s="1776" t="s">
        <v>22</v>
      </c>
      <c r="I1059" s="1776" t="s">
        <v>905</v>
      </c>
    </row>
    <row r="1060" spans="1:9" ht="11.25" customHeight="1">
      <c r="A1060" s="1776" t="s">
        <v>2244</v>
      </c>
      <c r="B1060" s="1776" t="s">
        <v>16</v>
      </c>
      <c r="C1060" s="1776" t="s">
        <v>4069</v>
      </c>
      <c r="D1060" s="1776" t="s">
        <v>4070</v>
      </c>
      <c r="E1060" s="1776" t="s">
        <v>4071</v>
      </c>
      <c r="F1060" s="1776" t="s">
        <v>2309</v>
      </c>
      <c r="G1060" s="1776" t="s">
        <v>22</v>
      </c>
      <c r="H1060" s="1776" t="s">
        <v>22</v>
      </c>
      <c r="I1060" s="1776" t="s">
        <v>905</v>
      </c>
    </row>
    <row r="1061" spans="1:9" ht="11.25" customHeight="1">
      <c r="A1061" s="1776" t="s">
        <v>2244</v>
      </c>
      <c r="B1061" s="1776" t="s">
        <v>16</v>
      </c>
      <c r="C1061" s="1776" t="s">
        <v>4072</v>
      </c>
      <c r="D1061" s="1776" t="s">
        <v>4073</v>
      </c>
      <c r="E1061" s="1776" t="s">
        <v>4074</v>
      </c>
      <c r="F1061" s="1776" t="s">
        <v>2257</v>
      </c>
      <c r="G1061" s="1776" t="s">
        <v>22</v>
      </c>
      <c r="H1061" s="1776" t="s">
        <v>22</v>
      </c>
      <c r="I1061" s="1776" t="s">
        <v>905</v>
      </c>
    </row>
    <row r="1062" spans="1:9" ht="11.25" customHeight="1">
      <c r="A1062" s="1776" t="s">
        <v>2244</v>
      </c>
      <c r="B1062" s="1776" t="s">
        <v>16</v>
      </c>
      <c r="C1062" s="1776" t="s">
        <v>4075</v>
      </c>
      <c r="D1062" s="1776" t="s">
        <v>4076</v>
      </c>
      <c r="E1062" s="1776" t="s">
        <v>4077</v>
      </c>
      <c r="F1062" s="1776" t="s">
        <v>2372</v>
      </c>
      <c r="G1062" s="1776" t="s">
        <v>22</v>
      </c>
      <c r="H1062" s="1776" t="s">
        <v>22</v>
      </c>
      <c r="I1062" s="1776" t="s">
        <v>905</v>
      </c>
    </row>
    <row r="1063" spans="1:9" ht="11.25" customHeight="1">
      <c r="A1063" s="1776" t="s">
        <v>2244</v>
      </c>
      <c r="B1063" s="1776" t="s">
        <v>16</v>
      </c>
      <c r="C1063" s="1776" t="s">
        <v>3346</v>
      </c>
      <c r="D1063" s="1776" t="s">
        <v>3347</v>
      </c>
      <c r="E1063" s="1776" t="s">
        <v>3348</v>
      </c>
      <c r="F1063" s="1776" t="s">
        <v>2679</v>
      </c>
      <c r="G1063" s="1776" t="s">
        <v>3349</v>
      </c>
      <c r="H1063" s="1776" t="s">
        <v>22</v>
      </c>
      <c r="I1063" s="1776" t="s">
        <v>905</v>
      </c>
    </row>
    <row r="1064" spans="1:9" ht="11.25" customHeight="1">
      <c r="A1064" s="1776" t="s">
        <v>2244</v>
      </c>
      <c r="B1064" s="1776" t="s">
        <v>16</v>
      </c>
      <c r="C1064" s="1776" t="s">
        <v>3956</v>
      </c>
      <c r="D1064" s="1776" t="s">
        <v>3957</v>
      </c>
      <c r="E1064" s="1776" t="s">
        <v>3958</v>
      </c>
      <c r="F1064" s="1776" t="s">
        <v>2697</v>
      </c>
      <c r="G1064" s="1776" t="s">
        <v>22</v>
      </c>
      <c r="H1064" s="1776" t="s">
        <v>22</v>
      </c>
      <c r="I1064" s="1776" t="s">
        <v>905</v>
      </c>
    </row>
    <row r="1065" spans="1:9" ht="11.25" customHeight="1">
      <c r="A1065" s="1776" t="s">
        <v>2244</v>
      </c>
      <c r="B1065" s="1776" t="s">
        <v>16</v>
      </c>
      <c r="C1065" s="1776" t="s">
        <v>3362</v>
      </c>
      <c r="D1065" s="1776" t="s">
        <v>3363</v>
      </c>
      <c r="E1065" s="1776" t="s">
        <v>3364</v>
      </c>
      <c r="F1065" s="1776" t="s">
        <v>2446</v>
      </c>
      <c r="G1065" s="1776" t="s">
        <v>22</v>
      </c>
      <c r="H1065" s="1776" t="s">
        <v>22</v>
      </c>
      <c r="I1065" s="1776" t="s">
        <v>905</v>
      </c>
    </row>
    <row r="1066" spans="1:9" ht="11.25" customHeight="1">
      <c r="A1066" s="1776" t="s">
        <v>2244</v>
      </c>
      <c r="B1066" s="1776" t="s">
        <v>16</v>
      </c>
      <c r="C1066" s="1776" t="s">
        <v>3365</v>
      </c>
      <c r="D1066" s="1776" t="s">
        <v>3366</v>
      </c>
      <c r="E1066" s="1776" t="s">
        <v>3367</v>
      </c>
      <c r="F1066" s="1776" t="s">
        <v>2313</v>
      </c>
      <c r="G1066" s="1776" t="s">
        <v>22</v>
      </c>
      <c r="H1066" s="1776" t="s">
        <v>22</v>
      </c>
      <c r="I1066" s="1776" t="s">
        <v>905</v>
      </c>
    </row>
    <row r="1067" spans="1:9" ht="11.25" customHeight="1">
      <c r="A1067" s="1776" t="s">
        <v>2244</v>
      </c>
      <c r="B1067" s="1776" t="s">
        <v>16</v>
      </c>
      <c r="C1067" s="1776" t="s">
        <v>3386</v>
      </c>
      <c r="D1067" s="1776" t="s">
        <v>3387</v>
      </c>
      <c r="E1067" s="1776" t="s">
        <v>3388</v>
      </c>
      <c r="F1067" s="1776" t="s">
        <v>2294</v>
      </c>
      <c r="G1067" s="1776" t="s">
        <v>22</v>
      </c>
      <c r="H1067" s="1776" t="s">
        <v>22</v>
      </c>
      <c r="I1067" s="1776" t="s">
        <v>905</v>
      </c>
    </row>
    <row r="1068" spans="1:9" ht="11.25" customHeight="1">
      <c r="A1068" s="1776" t="s">
        <v>2244</v>
      </c>
      <c r="B1068" s="1776" t="s">
        <v>16</v>
      </c>
      <c r="C1068" s="1776" t="s">
        <v>3398</v>
      </c>
      <c r="D1068" s="1776" t="s">
        <v>3399</v>
      </c>
      <c r="E1068" s="1776" t="s">
        <v>3400</v>
      </c>
      <c r="F1068" s="1776" t="s">
        <v>2313</v>
      </c>
      <c r="G1068" s="1776" t="s">
        <v>22</v>
      </c>
      <c r="H1068" s="1776" t="s">
        <v>22</v>
      </c>
      <c r="I1068" s="1776" t="s">
        <v>905</v>
      </c>
    </row>
    <row r="1069" spans="1:9" ht="11.25" customHeight="1">
      <c r="A1069" s="1776" t="s">
        <v>2244</v>
      </c>
      <c r="B1069" s="1776" t="s">
        <v>16</v>
      </c>
      <c r="C1069" s="1776" t="s">
        <v>4078</v>
      </c>
      <c r="D1069" s="1776" t="s">
        <v>4079</v>
      </c>
      <c r="E1069" s="1776" t="s">
        <v>4080</v>
      </c>
      <c r="F1069" s="1776" t="s">
        <v>2887</v>
      </c>
      <c r="G1069" s="1776" t="s">
        <v>22</v>
      </c>
      <c r="H1069" s="1776" t="s">
        <v>22</v>
      </c>
      <c r="I1069" s="1776" t="s">
        <v>905</v>
      </c>
    </row>
    <row r="1070" spans="1:9" ht="11.25" customHeight="1">
      <c r="A1070" s="1776" t="s">
        <v>2244</v>
      </c>
      <c r="B1070" s="1776" t="s">
        <v>16</v>
      </c>
      <c r="C1070" s="1776" t="s">
        <v>3962</v>
      </c>
      <c r="D1070" s="1776" t="s">
        <v>3963</v>
      </c>
      <c r="E1070" s="1776" t="s">
        <v>3964</v>
      </c>
      <c r="F1070" s="1776" t="s">
        <v>2527</v>
      </c>
      <c r="G1070" s="1776" t="s">
        <v>22</v>
      </c>
      <c r="H1070" s="1776" t="s">
        <v>22</v>
      </c>
      <c r="I1070" s="1776" t="s">
        <v>905</v>
      </c>
    </row>
    <row r="1071" spans="1:9" ht="11.25" customHeight="1">
      <c r="A1071" s="1776" t="s">
        <v>2244</v>
      </c>
      <c r="B1071" s="1776" t="s">
        <v>16</v>
      </c>
      <c r="C1071" s="1776" t="s">
        <v>4081</v>
      </c>
      <c r="D1071" s="1776" t="s">
        <v>4082</v>
      </c>
      <c r="E1071" s="1776" t="s">
        <v>4083</v>
      </c>
      <c r="F1071" s="1776" t="s">
        <v>2309</v>
      </c>
      <c r="G1071" s="1776" t="s">
        <v>22</v>
      </c>
      <c r="H1071" s="1776" t="s">
        <v>22</v>
      </c>
      <c r="I1071" s="1776" t="s">
        <v>905</v>
      </c>
    </row>
    <row r="1072" spans="1:9" ht="11.25" customHeight="1">
      <c r="A1072" s="1776" t="s">
        <v>2244</v>
      </c>
      <c r="B1072" s="1776" t="s">
        <v>16</v>
      </c>
      <c r="C1072" s="1776" t="s">
        <v>3968</v>
      </c>
      <c r="D1072" s="1776" t="s">
        <v>3969</v>
      </c>
      <c r="E1072" s="1776" t="s">
        <v>3970</v>
      </c>
      <c r="F1072" s="1776" t="s">
        <v>2534</v>
      </c>
      <c r="G1072" s="1776" t="s">
        <v>22</v>
      </c>
      <c r="H1072" s="1776" t="s">
        <v>22</v>
      </c>
      <c r="I1072" s="1776" t="s">
        <v>905</v>
      </c>
    </row>
    <row r="1073" spans="1:9" ht="11.25" customHeight="1">
      <c r="A1073" s="1776" t="s">
        <v>2244</v>
      </c>
      <c r="B1073" s="1776" t="s">
        <v>16</v>
      </c>
      <c r="C1073" s="1776" t="s">
        <v>4084</v>
      </c>
      <c r="D1073" s="1776" t="s">
        <v>4085</v>
      </c>
      <c r="E1073" s="1776" t="s">
        <v>4086</v>
      </c>
      <c r="F1073" s="1776" t="s">
        <v>2473</v>
      </c>
      <c r="G1073" s="1776" t="s">
        <v>22</v>
      </c>
      <c r="H1073" s="1776" t="s">
        <v>22</v>
      </c>
      <c r="I1073" s="1776" t="s">
        <v>905</v>
      </c>
    </row>
    <row r="1074" spans="1:9" ht="11.25" customHeight="1">
      <c r="A1074" s="1776" t="s">
        <v>2244</v>
      </c>
      <c r="B1074" s="1776" t="s">
        <v>16</v>
      </c>
      <c r="C1074" s="1776" t="s">
        <v>3971</v>
      </c>
      <c r="D1074" s="1776" t="s">
        <v>3972</v>
      </c>
      <c r="E1074" s="1776" t="s">
        <v>3973</v>
      </c>
      <c r="F1074" s="1776" t="s">
        <v>2309</v>
      </c>
      <c r="G1074" s="1776" t="s">
        <v>22</v>
      </c>
      <c r="H1074" s="1776" t="s">
        <v>22</v>
      </c>
      <c r="I1074" s="1776" t="s">
        <v>905</v>
      </c>
    </row>
    <row r="1075" spans="1:9" ht="11.25" customHeight="1">
      <c r="A1075" s="1776" t="s">
        <v>2244</v>
      </c>
      <c r="B1075" s="1776" t="s">
        <v>16</v>
      </c>
      <c r="C1075" s="1776" t="s">
        <v>3468</v>
      </c>
      <c r="D1075" s="1776" t="s">
        <v>3469</v>
      </c>
      <c r="E1075" s="1776" t="s">
        <v>3470</v>
      </c>
      <c r="F1075" s="1776" t="s">
        <v>2257</v>
      </c>
      <c r="G1075" s="1776" t="s">
        <v>22</v>
      </c>
      <c r="H1075" s="1776" t="s">
        <v>22</v>
      </c>
      <c r="I1075" s="1776" t="s">
        <v>905</v>
      </c>
    </row>
    <row r="1076" spans="1:9" ht="11.25" customHeight="1">
      <c r="A1076" s="1776" t="s">
        <v>2244</v>
      </c>
      <c r="B1076" s="1776" t="s">
        <v>16</v>
      </c>
      <c r="C1076" s="1776" t="s">
        <v>3974</v>
      </c>
      <c r="D1076" s="1776" t="s">
        <v>3975</v>
      </c>
      <c r="E1076" s="1776" t="s">
        <v>3976</v>
      </c>
      <c r="F1076" s="1776" t="s">
        <v>2550</v>
      </c>
      <c r="G1076" s="1776" t="s">
        <v>22</v>
      </c>
      <c r="H1076" s="1776" t="s">
        <v>22</v>
      </c>
      <c r="I1076" s="1776" t="s">
        <v>905</v>
      </c>
    </row>
    <row r="1077" spans="1:9" ht="11.25" customHeight="1">
      <c r="A1077" s="1776" t="s">
        <v>2244</v>
      </c>
      <c r="B1077" s="1776" t="s">
        <v>16</v>
      </c>
      <c r="C1077" s="1776" t="s">
        <v>3977</v>
      </c>
      <c r="D1077" s="1776" t="s">
        <v>3978</v>
      </c>
      <c r="E1077" s="1776" t="s">
        <v>3979</v>
      </c>
      <c r="F1077" s="1776" t="s">
        <v>2962</v>
      </c>
      <c r="G1077" s="1776" t="s">
        <v>22</v>
      </c>
      <c r="H1077" s="1776" t="s">
        <v>22</v>
      </c>
      <c r="I1077" s="1776" t="s">
        <v>905</v>
      </c>
    </row>
    <row r="1078" spans="1:9" ht="11.25" customHeight="1">
      <c r="A1078" s="1776" t="s">
        <v>2244</v>
      </c>
      <c r="B1078" s="1776" t="s">
        <v>16</v>
      </c>
      <c r="C1078" s="1776" t="s">
        <v>3980</v>
      </c>
      <c r="D1078" s="1776" t="s">
        <v>3981</v>
      </c>
      <c r="E1078" s="1776" t="s">
        <v>3982</v>
      </c>
      <c r="F1078" s="1776" t="s">
        <v>2527</v>
      </c>
      <c r="G1078" s="1776" t="s">
        <v>22</v>
      </c>
      <c r="H1078" s="1776" t="s">
        <v>22</v>
      </c>
      <c r="I1078" s="1776" t="s">
        <v>905</v>
      </c>
    </row>
    <row r="1079" spans="1:9" ht="11.25" customHeight="1">
      <c r="A1079" s="1776" t="s">
        <v>2244</v>
      </c>
      <c r="B1079" s="1776" t="s">
        <v>16</v>
      </c>
      <c r="C1079" s="1776" t="s">
        <v>3983</v>
      </c>
      <c r="D1079" s="1776" t="s">
        <v>3984</v>
      </c>
      <c r="E1079" s="1776" t="s">
        <v>3985</v>
      </c>
      <c r="F1079" s="1776" t="s">
        <v>2639</v>
      </c>
      <c r="G1079" s="1776" t="s">
        <v>22</v>
      </c>
      <c r="H1079" s="1776" t="s">
        <v>22</v>
      </c>
      <c r="I1079" s="1776" t="s">
        <v>905</v>
      </c>
    </row>
    <row r="1080" spans="1:9" ht="11.25" customHeight="1">
      <c r="A1080" s="1776" t="s">
        <v>2244</v>
      </c>
      <c r="B1080" s="1776" t="s">
        <v>16</v>
      </c>
      <c r="C1080" s="1776" t="s">
        <v>3543</v>
      </c>
      <c r="D1080" s="1776" t="s">
        <v>3544</v>
      </c>
      <c r="E1080" s="1776" t="s">
        <v>2297</v>
      </c>
      <c r="F1080" s="1776" t="s">
        <v>3545</v>
      </c>
      <c r="G1080" s="1776" t="s">
        <v>22</v>
      </c>
      <c r="H1080" s="1776" t="s">
        <v>22</v>
      </c>
      <c r="I1080" s="1776" t="s">
        <v>905</v>
      </c>
    </row>
    <row r="1081" spans="1:9" ht="11.25" customHeight="1">
      <c r="A1081" s="1776" t="s">
        <v>2244</v>
      </c>
      <c r="B1081" s="1776" t="s">
        <v>16</v>
      </c>
      <c r="C1081" s="1776" t="s">
        <v>3550</v>
      </c>
      <c r="D1081" s="1776" t="s">
        <v>3551</v>
      </c>
      <c r="E1081" s="1776" t="s">
        <v>3552</v>
      </c>
      <c r="F1081" s="1776" t="s">
        <v>2679</v>
      </c>
      <c r="G1081" s="1776" t="s">
        <v>22</v>
      </c>
      <c r="H1081" s="1776" t="s">
        <v>22</v>
      </c>
      <c r="I1081" s="1776" t="s">
        <v>905</v>
      </c>
    </row>
    <row r="1082" spans="1:9" ht="11.25" customHeight="1">
      <c r="A1082" s="1776" t="s">
        <v>2244</v>
      </c>
      <c r="B1082" s="1776" t="s">
        <v>16</v>
      </c>
      <c r="C1082" s="1776" t="s">
        <v>3553</v>
      </c>
      <c r="D1082" s="1776" t="s">
        <v>3554</v>
      </c>
      <c r="E1082" s="1776" t="s">
        <v>3555</v>
      </c>
      <c r="F1082" s="1776" t="s">
        <v>2323</v>
      </c>
      <c r="G1082" s="1776" t="s">
        <v>22</v>
      </c>
      <c r="H1082" s="1776" t="s">
        <v>22</v>
      </c>
      <c r="I1082" s="1776" t="s">
        <v>905</v>
      </c>
    </row>
    <row r="1083" spans="1:9" ht="11.25" customHeight="1">
      <c r="A1083" s="1776" t="s">
        <v>2244</v>
      </c>
      <c r="B1083" s="1776" t="s">
        <v>16</v>
      </c>
      <c r="C1083" s="1776" t="s">
        <v>4087</v>
      </c>
      <c r="D1083" s="1776" t="s">
        <v>4088</v>
      </c>
      <c r="E1083" s="1776" t="s">
        <v>4089</v>
      </c>
      <c r="F1083" s="1776" t="s">
        <v>2302</v>
      </c>
      <c r="G1083" s="1776" t="s">
        <v>22</v>
      </c>
      <c r="H1083" s="1776" t="s">
        <v>22</v>
      </c>
      <c r="I1083" s="1776" t="s">
        <v>905</v>
      </c>
    </row>
    <row r="1084" spans="1:9" ht="11.25" customHeight="1">
      <c r="A1084" s="1776" t="s">
        <v>2244</v>
      </c>
      <c r="B1084" s="1776" t="s">
        <v>16</v>
      </c>
      <c r="C1084" s="1776" t="s">
        <v>3563</v>
      </c>
      <c r="D1084" s="1776" t="s">
        <v>3564</v>
      </c>
      <c r="E1084" s="1776" t="s">
        <v>3565</v>
      </c>
      <c r="F1084" s="1776" t="s">
        <v>2432</v>
      </c>
      <c r="G1084" s="1776" t="s">
        <v>22</v>
      </c>
      <c r="H1084" s="1776" t="s">
        <v>22</v>
      </c>
      <c r="I1084" s="1776" t="s">
        <v>905</v>
      </c>
    </row>
    <row r="1085" spans="1:9" ht="11.25" customHeight="1">
      <c r="A1085" s="1776" t="s">
        <v>2244</v>
      </c>
      <c r="B1085" s="1776" t="s">
        <v>16</v>
      </c>
      <c r="C1085" s="1776" t="s">
        <v>3566</v>
      </c>
      <c r="D1085" s="1776" t="s">
        <v>3567</v>
      </c>
      <c r="E1085" s="1776" t="s">
        <v>3568</v>
      </c>
      <c r="F1085" s="1776" t="s">
        <v>2302</v>
      </c>
      <c r="G1085" s="1776" t="s">
        <v>22</v>
      </c>
      <c r="H1085" s="1776" t="s">
        <v>22</v>
      </c>
      <c r="I1085" s="1776" t="s">
        <v>905</v>
      </c>
    </row>
    <row r="1086" spans="1:9" ht="11.25" customHeight="1">
      <c r="A1086" s="1776" t="s">
        <v>2244</v>
      </c>
      <c r="B1086" s="1776" t="s">
        <v>16</v>
      </c>
      <c r="C1086" s="1776" t="s">
        <v>3572</v>
      </c>
      <c r="D1086" s="1776" t="s">
        <v>3573</v>
      </c>
      <c r="E1086" s="1776" t="s">
        <v>3574</v>
      </c>
      <c r="F1086" s="1776" t="s">
        <v>2623</v>
      </c>
      <c r="G1086" s="1776" t="s">
        <v>22</v>
      </c>
      <c r="H1086" s="1776" t="s">
        <v>22</v>
      </c>
      <c r="I1086" s="1776" t="s">
        <v>905</v>
      </c>
    </row>
    <row r="1087" spans="1:9" ht="11.25" customHeight="1">
      <c r="A1087" s="1776" t="s">
        <v>2244</v>
      </c>
      <c r="B1087" s="1776" t="s">
        <v>16</v>
      </c>
      <c r="C1087" s="1776" t="s">
        <v>3584</v>
      </c>
      <c r="D1087" s="1776" t="s">
        <v>3585</v>
      </c>
      <c r="E1087" s="1776" t="s">
        <v>3586</v>
      </c>
      <c r="F1087" s="1776" t="s">
        <v>2446</v>
      </c>
      <c r="G1087" s="1776" t="s">
        <v>22</v>
      </c>
      <c r="H1087" s="1776" t="s">
        <v>22</v>
      </c>
      <c r="I1087" s="1776" t="s">
        <v>905</v>
      </c>
    </row>
    <row r="1088" spans="1:9" ht="11.25" customHeight="1">
      <c r="A1088" s="1776" t="s">
        <v>2244</v>
      </c>
      <c r="B1088" s="1776" t="s">
        <v>16</v>
      </c>
      <c r="C1088" s="1776" t="s">
        <v>3587</v>
      </c>
      <c r="D1088" s="1776" t="s">
        <v>3588</v>
      </c>
      <c r="E1088" s="1776" t="s">
        <v>3589</v>
      </c>
      <c r="F1088" s="1776" t="s">
        <v>2690</v>
      </c>
      <c r="G1088" s="1776" t="s">
        <v>22</v>
      </c>
      <c r="H1088" s="1776" t="s">
        <v>22</v>
      </c>
      <c r="I1088" s="1776" t="s">
        <v>905</v>
      </c>
    </row>
    <row r="1089" spans="1:9" ht="11.25" customHeight="1">
      <c r="A1089" s="1776" t="s">
        <v>2244</v>
      </c>
      <c r="B1089" s="1776" t="s">
        <v>16</v>
      </c>
      <c r="C1089" s="1776" t="s">
        <v>22</v>
      </c>
      <c r="D1089" s="1776" t="s">
        <v>3590</v>
      </c>
      <c r="E1089" s="1776" t="s">
        <v>3591</v>
      </c>
      <c r="F1089" s="1776" t="s">
        <v>2252</v>
      </c>
      <c r="G1089" s="1776" t="s">
        <v>22</v>
      </c>
      <c r="H1089" s="1776" t="s">
        <v>22</v>
      </c>
      <c r="I1089" s="1776" t="s">
        <v>905</v>
      </c>
    </row>
    <row r="1090" spans="1:9" ht="11.25" customHeight="1">
      <c r="A1090" s="1776" t="s">
        <v>2244</v>
      </c>
      <c r="B1090" s="1776" t="s">
        <v>16</v>
      </c>
      <c r="C1090" s="1776" t="s">
        <v>3989</v>
      </c>
      <c r="D1090" s="1776" t="s">
        <v>3990</v>
      </c>
      <c r="E1090" s="1776" t="s">
        <v>3991</v>
      </c>
      <c r="F1090" s="1776" t="s">
        <v>2887</v>
      </c>
      <c r="G1090" s="1776" t="s">
        <v>22</v>
      </c>
      <c r="H1090" s="1776" t="s">
        <v>22</v>
      </c>
      <c r="I1090" s="1776" t="s">
        <v>905</v>
      </c>
    </row>
    <row r="1091" spans="1:9" ht="11.25" customHeight="1">
      <c r="A1091" s="1776" t="s">
        <v>2244</v>
      </c>
      <c r="B1091" s="1776" t="s">
        <v>16</v>
      </c>
      <c r="C1091" s="1776" t="s">
        <v>3595</v>
      </c>
      <c r="D1091" s="1776" t="s">
        <v>3596</v>
      </c>
      <c r="E1091" s="1776" t="s">
        <v>3597</v>
      </c>
      <c r="F1091" s="1776" t="s">
        <v>2491</v>
      </c>
      <c r="G1091" s="1776" t="s">
        <v>3598</v>
      </c>
      <c r="H1091" s="1776" t="s">
        <v>22</v>
      </c>
      <c r="I1091" s="1776" t="s">
        <v>905</v>
      </c>
    </row>
    <row r="1092" spans="1:9" ht="11.25" customHeight="1">
      <c r="A1092" s="1776" t="s">
        <v>2244</v>
      </c>
      <c r="B1092" s="1776" t="s">
        <v>16</v>
      </c>
      <c r="C1092" s="1776" t="s">
        <v>3599</v>
      </c>
      <c r="D1092" s="1776" t="s">
        <v>3600</v>
      </c>
      <c r="E1092" s="1776" t="s">
        <v>3601</v>
      </c>
      <c r="F1092" s="1776" t="s">
        <v>2491</v>
      </c>
      <c r="G1092" s="1776" t="s">
        <v>22</v>
      </c>
      <c r="H1092" s="1776" t="s">
        <v>22</v>
      </c>
      <c r="I1092" s="1776" t="s">
        <v>905</v>
      </c>
    </row>
    <row r="1093" spans="1:9" ht="11.25" customHeight="1">
      <c r="A1093" s="1776" t="s">
        <v>2244</v>
      </c>
      <c r="B1093" s="1776" t="s">
        <v>16</v>
      </c>
      <c r="C1093" s="1776" t="s">
        <v>3611</v>
      </c>
      <c r="D1093" s="1776" t="s">
        <v>3612</v>
      </c>
      <c r="E1093" s="1776" t="s">
        <v>3613</v>
      </c>
      <c r="F1093" s="1776" t="s">
        <v>3545</v>
      </c>
      <c r="G1093" s="1776" t="s">
        <v>22</v>
      </c>
      <c r="H1093" s="1776" t="s">
        <v>22</v>
      </c>
      <c r="I1093" s="1776" t="s">
        <v>905</v>
      </c>
    </row>
    <row r="1094" spans="1:9" ht="11.25" customHeight="1">
      <c r="A1094" s="1776" t="s">
        <v>2244</v>
      </c>
      <c r="B1094" s="1776" t="s">
        <v>16</v>
      </c>
      <c r="C1094" s="1776" t="s">
        <v>3614</v>
      </c>
      <c r="D1094" s="1776" t="s">
        <v>3612</v>
      </c>
      <c r="E1094" s="1776" t="s">
        <v>3613</v>
      </c>
      <c r="F1094" s="1776" t="s">
        <v>2428</v>
      </c>
      <c r="G1094" s="1776" t="s">
        <v>22</v>
      </c>
      <c r="H1094" s="1776" t="s">
        <v>22</v>
      </c>
      <c r="I1094" s="1776" t="s">
        <v>905</v>
      </c>
    </row>
    <row r="1095" spans="1:9" ht="11.25" customHeight="1">
      <c r="A1095" s="1776" t="s">
        <v>2244</v>
      </c>
      <c r="B1095" s="1776" t="s">
        <v>16</v>
      </c>
      <c r="C1095" s="1776" t="s">
        <v>4001</v>
      </c>
      <c r="D1095" s="1776" t="s">
        <v>4002</v>
      </c>
      <c r="E1095" s="1776" t="s">
        <v>4003</v>
      </c>
      <c r="F1095" s="1776" t="s">
        <v>2962</v>
      </c>
      <c r="G1095" s="1776" t="s">
        <v>22</v>
      </c>
      <c r="H1095" s="1776" t="s">
        <v>22</v>
      </c>
      <c r="I1095" s="1776" t="s">
        <v>905</v>
      </c>
    </row>
    <row r="1096" spans="1:9" ht="11.25" customHeight="1">
      <c r="A1096" s="1776" t="s">
        <v>2244</v>
      </c>
      <c r="B1096" s="1776" t="s">
        <v>16</v>
      </c>
      <c r="C1096" s="1776" t="s">
        <v>3615</v>
      </c>
      <c r="D1096" s="1776" t="s">
        <v>3616</v>
      </c>
      <c r="E1096" s="1776" t="s">
        <v>3617</v>
      </c>
      <c r="F1096" s="1776" t="s">
        <v>2436</v>
      </c>
      <c r="G1096" s="1776" t="s">
        <v>22</v>
      </c>
      <c r="H1096" s="1776" t="s">
        <v>22</v>
      </c>
      <c r="I1096" s="1776" t="s">
        <v>905</v>
      </c>
    </row>
    <row r="1097" spans="1:9" ht="11.25" customHeight="1">
      <c r="A1097" s="1776" t="s">
        <v>2244</v>
      </c>
      <c r="B1097" s="1776" t="s">
        <v>16</v>
      </c>
      <c r="C1097" s="1776" t="s">
        <v>3622</v>
      </c>
      <c r="D1097" s="1776" t="s">
        <v>3623</v>
      </c>
      <c r="E1097" s="1776" t="s">
        <v>3624</v>
      </c>
      <c r="F1097" s="1776" t="s">
        <v>2309</v>
      </c>
      <c r="G1097" s="1776" t="s">
        <v>22</v>
      </c>
      <c r="H1097" s="1776" t="s">
        <v>22</v>
      </c>
      <c r="I1097" s="1776" t="s">
        <v>905</v>
      </c>
    </row>
    <row r="1098" spans="1:9" ht="11.25" customHeight="1">
      <c r="A1098" s="1776" t="s">
        <v>2244</v>
      </c>
      <c r="B1098" s="1776" t="s">
        <v>16</v>
      </c>
      <c r="C1098" s="1776" t="s">
        <v>4090</v>
      </c>
      <c r="D1098" s="1776" t="s">
        <v>4091</v>
      </c>
      <c r="E1098" s="1776" t="s">
        <v>4092</v>
      </c>
      <c r="F1098" s="1776" t="s">
        <v>2446</v>
      </c>
      <c r="G1098" s="1776" t="s">
        <v>22</v>
      </c>
      <c r="H1098" s="1776" t="s">
        <v>22</v>
      </c>
      <c r="I1098" s="1776" t="s">
        <v>905</v>
      </c>
    </row>
    <row r="1099" spans="1:9" ht="11.25" customHeight="1">
      <c r="A1099" s="1776" t="s">
        <v>2244</v>
      </c>
      <c r="B1099" s="1776" t="s">
        <v>16</v>
      </c>
      <c r="C1099" s="1776" t="s">
        <v>3645</v>
      </c>
      <c r="D1099" s="1776" t="s">
        <v>3646</v>
      </c>
      <c r="E1099" s="1776" t="s">
        <v>3647</v>
      </c>
      <c r="F1099" s="1776" t="s">
        <v>2646</v>
      </c>
      <c r="G1099" s="1776" t="s">
        <v>22</v>
      </c>
      <c r="H1099" s="1776" t="s">
        <v>22</v>
      </c>
      <c r="I1099" s="1776" t="s">
        <v>905</v>
      </c>
    </row>
    <row r="1100" spans="1:9" ht="11.25" customHeight="1">
      <c r="A1100" s="1776" t="s">
        <v>2244</v>
      </c>
      <c r="B1100" s="1776" t="s">
        <v>16</v>
      </c>
      <c r="C1100" s="1776" t="s">
        <v>3648</v>
      </c>
      <c r="D1100" s="1776" t="s">
        <v>3649</v>
      </c>
      <c r="E1100" s="1776" t="s">
        <v>3650</v>
      </c>
      <c r="F1100" s="1776" t="s">
        <v>2631</v>
      </c>
      <c r="G1100" s="1776" t="s">
        <v>3651</v>
      </c>
      <c r="H1100" s="1776" t="s">
        <v>22</v>
      </c>
      <c r="I1100" s="1776" t="s">
        <v>905</v>
      </c>
    </row>
    <row r="1101" spans="1:9" ht="11.25" customHeight="1">
      <c r="A1101" s="1776" t="s">
        <v>2244</v>
      </c>
      <c r="B1101" s="1776" t="s">
        <v>16</v>
      </c>
      <c r="C1101" s="1776" t="s">
        <v>3652</v>
      </c>
      <c r="D1101" s="1776" t="s">
        <v>3653</v>
      </c>
      <c r="E1101" s="1776" t="s">
        <v>3654</v>
      </c>
      <c r="F1101" s="1776" t="s">
        <v>2302</v>
      </c>
      <c r="G1101" s="1776" t="s">
        <v>22</v>
      </c>
      <c r="H1101" s="1776" t="s">
        <v>22</v>
      </c>
      <c r="I1101" s="1776" t="s">
        <v>905</v>
      </c>
    </row>
    <row r="1102" spans="1:9" ht="11.25" customHeight="1">
      <c r="A1102" s="1776" t="s">
        <v>2244</v>
      </c>
      <c r="B1102" s="1776" t="s">
        <v>16</v>
      </c>
      <c r="C1102" s="1776" t="s">
        <v>4093</v>
      </c>
      <c r="D1102" s="1776" t="s">
        <v>4094</v>
      </c>
      <c r="E1102" s="1776" t="s">
        <v>4095</v>
      </c>
      <c r="F1102" s="1776" t="s">
        <v>2252</v>
      </c>
      <c r="G1102" s="1776" t="s">
        <v>22</v>
      </c>
      <c r="H1102" s="1776" t="s">
        <v>22</v>
      </c>
      <c r="I1102" s="1776" t="s">
        <v>1617</v>
      </c>
    </row>
    <row r="1103" spans="1:9" ht="11.25" customHeight="1">
      <c r="A1103" s="1776" t="s">
        <v>2244</v>
      </c>
      <c r="B1103" s="1776" t="s">
        <v>16</v>
      </c>
      <c r="C1103" s="1776" t="s">
        <v>4096</v>
      </c>
      <c r="D1103" s="1776" t="s">
        <v>4097</v>
      </c>
      <c r="E1103" s="1776" t="s">
        <v>4098</v>
      </c>
      <c r="F1103" s="1776" t="s">
        <v>2446</v>
      </c>
      <c r="G1103" s="1776" t="s">
        <v>22</v>
      </c>
      <c r="H1103" s="1776" t="s">
        <v>22</v>
      </c>
      <c r="I1103" s="1776" t="s">
        <v>1617</v>
      </c>
    </row>
    <row r="1104" spans="1:9" ht="11.25" customHeight="1">
      <c r="A1104" s="1776" t="s">
        <v>2244</v>
      </c>
      <c r="B1104" s="1776" t="s">
        <v>16</v>
      </c>
      <c r="C1104" s="1776" t="s">
        <v>3756</v>
      </c>
      <c r="D1104" s="1776" t="s">
        <v>3757</v>
      </c>
      <c r="E1104" s="1776" t="s">
        <v>3758</v>
      </c>
      <c r="F1104" s="1776" t="s">
        <v>2659</v>
      </c>
      <c r="G1104" s="1776" t="s">
        <v>22</v>
      </c>
      <c r="H1104" s="1776" t="s">
        <v>22</v>
      </c>
      <c r="I1104" s="1776" t="s">
        <v>1617</v>
      </c>
    </row>
    <row r="1105" spans="1:9" ht="11.25" customHeight="1">
      <c r="A1105" s="1776" t="s">
        <v>2244</v>
      </c>
      <c r="B1105" s="1776" t="s">
        <v>16</v>
      </c>
      <c r="C1105" s="1776" t="s">
        <v>4099</v>
      </c>
      <c r="D1105" s="1776" t="s">
        <v>4100</v>
      </c>
      <c r="E1105" s="1776" t="s">
        <v>4101</v>
      </c>
      <c r="F1105" s="1776" t="s">
        <v>2436</v>
      </c>
      <c r="G1105" s="1776" t="s">
        <v>22</v>
      </c>
      <c r="H1105" s="1776" t="s">
        <v>22</v>
      </c>
      <c r="I1105" s="1776" t="s">
        <v>1617</v>
      </c>
    </row>
    <row r="1106" spans="1:9" ht="11.25" customHeight="1">
      <c r="A1106" s="1776" t="s">
        <v>2244</v>
      </c>
      <c r="B1106" s="1776" t="s">
        <v>16</v>
      </c>
      <c r="C1106" s="1776" t="s">
        <v>2759</v>
      </c>
      <c r="D1106" s="1776" t="s">
        <v>2760</v>
      </c>
      <c r="E1106" s="1776" t="s">
        <v>2761</v>
      </c>
      <c r="F1106" s="1776" t="s">
        <v>2500</v>
      </c>
      <c r="G1106" s="1776" t="s">
        <v>22</v>
      </c>
      <c r="H1106" s="1776" t="s">
        <v>22</v>
      </c>
      <c r="I1106" s="1776" t="s">
        <v>1617</v>
      </c>
    </row>
    <row r="1107" spans="1:9" ht="11.25" customHeight="1">
      <c r="A1107" s="1776" t="s">
        <v>2244</v>
      </c>
      <c r="B1107" s="1776" t="s">
        <v>16</v>
      </c>
      <c r="C1107" s="1776" t="s">
        <v>2762</v>
      </c>
      <c r="D1107" s="1776" t="s">
        <v>2763</v>
      </c>
      <c r="E1107" s="1776" t="s">
        <v>2764</v>
      </c>
      <c r="F1107" s="1776" t="s">
        <v>2523</v>
      </c>
      <c r="G1107" s="1776" t="s">
        <v>22</v>
      </c>
      <c r="H1107" s="1776" t="s">
        <v>22</v>
      </c>
      <c r="I1107" s="1776" t="s">
        <v>1617</v>
      </c>
    </row>
    <row r="1108" spans="1:9" ht="11.25" customHeight="1">
      <c r="A1108" s="1776" t="s">
        <v>2244</v>
      </c>
      <c r="B1108" s="1776" t="s">
        <v>16</v>
      </c>
      <c r="C1108" s="1776" t="s">
        <v>2768</v>
      </c>
      <c r="D1108" s="1776" t="s">
        <v>2769</v>
      </c>
      <c r="E1108" s="1776" t="s">
        <v>2770</v>
      </c>
      <c r="F1108" s="1776" t="s">
        <v>2771</v>
      </c>
      <c r="G1108" s="1776" t="s">
        <v>22</v>
      </c>
      <c r="H1108" s="1776" t="s">
        <v>22</v>
      </c>
      <c r="I1108" s="1776" t="s">
        <v>1617</v>
      </c>
    </row>
    <row r="1109" spans="1:9" ht="11.25" customHeight="1">
      <c r="A1109" s="1776" t="s">
        <v>2244</v>
      </c>
      <c r="B1109" s="1776" t="s">
        <v>16</v>
      </c>
      <c r="C1109" s="1776" t="s">
        <v>2799</v>
      </c>
      <c r="D1109" s="1776" t="s">
        <v>2800</v>
      </c>
      <c r="E1109" s="1776" t="s">
        <v>2801</v>
      </c>
      <c r="F1109" s="1776" t="s">
        <v>2515</v>
      </c>
      <c r="G1109" s="1776" t="s">
        <v>22</v>
      </c>
      <c r="H1109" s="1776" t="s">
        <v>22</v>
      </c>
      <c r="I1109" s="1776" t="s">
        <v>1617</v>
      </c>
    </row>
    <row r="1110" spans="1:9" ht="11.25" customHeight="1">
      <c r="A1110" s="1776" t="s">
        <v>2244</v>
      </c>
      <c r="B1110" s="1776" t="s">
        <v>16</v>
      </c>
      <c r="C1110" s="1776" t="s">
        <v>2832</v>
      </c>
      <c r="D1110" s="1776" t="s">
        <v>2833</v>
      </c>
      <c r="E1110" s="1776" t="s">
        <v>2834</v>
      </c>
      <c r="F1110" s="1776" t="s">
        <v>2835</v>
      </c>
      <c r="G1110" s="1776" t="s">
        <v>22</v>
      </c>
      <c r="H1110" s="1776" t="s">
        <v>22</v>
      </c>
      <c r="I1110" s="1776" t="s">
        <v>1617</v>
      </c>
    </row>
    <row r="1111" spans="1:9" ht="11.25" customHeight="1">
      <c r="A1111" s="1776" t="s">
        <v>2244</v>
      </c>
      <c r="B1111" s="1776" t="s">
        <v>16</v>
      </c>
      <c r="C1111" s="1776" t="s">
        <v>3002</v>
      </c>
      <c r="D1111" s="1776" t="s">
        <v>3003</v>
      </c>
      <c r="E1111" s="1776" t="s">
        <v>3004</v>
      </c>
      <c r="F1111" s="1776" t="s">
        <v>2511</v>
      </c>
      <c r="G1111" s="1776" t="s">
        <v>22</v>
      </c>
      <c r="H1111" s="1776" t="s">
        <v>22</v>
      </c>
      <c r="I1111" s="1776" t="s">
        <v>1617</v>
      </c>
    </row>
    <row r="1112" spans="1:9" ht="11.25" customHeight="1">
      <c r="A1112" s="1776" t="s">
        <v>2244</v>
      </c>
      <c r="B1112" s="1776" t="s">
        <v>16</v>
      </c>
      <c r="C1112" s="1776" t="s">
        <v>4102</v>
      </c>
      <c r="D1112" s="1776" t="s">
        <v>4103</v>
      </c>
      <c r="E1112" s="1776" t="s">
        <v>4104</v>
      </c>
      <c r="F1112" s="1776" t="s">
        <v>2287</v>
      </c>
      <c r="G1112" s="1776" t="s">
        <v>22</v>
      </c>
      <c r="H1112" s="1776" t="s">
        <v>22</v>
      </c>
      <c r="I1112" s="1776" t="s">
        <v>1617</v>
      </c>
    </row>
    <row r="1113" spans="1:9" ht="11.25" customHeight="1">
      <c r="A1113" s="1776" t="s">
        <v>2244</v>
      </c>
      <c r="B1113" s="1776" t="s">
        <v>16</v>
      </c>
      <c r="C1113" s="1776" t="s">
        <v>4105</v>
      </c>
      <c r="D1113" s="1776" t="s">
        <v>4106</v>
      </c>
      <c r="E1113" s="1776" t="s">
        <v>4107</v>
      </c>
      <c r="F1113" s="1776" t="s">
        <v>2323</v>
      </c>
      <c r="G1113" s="1776" t="s">
        <v>22</v>
      </c>
      <c r="H1113" s="1776" t="s">
        <v>22</v>
      </c>
      <c r="I1113" s="1776" t="s">
        <v>1617</v>
      </c>
    </row>
    <row r="1114" spans="1:9" ht="11.25" customHeight="1">
      <c r="A1114" s="1776" t="s">
        <v>2244</v>
      </c>
      <c r="B1114" s="1776" t="s">
        <v>16</v>
      </c>
      <c r="C1114" s="1776" t="s">
        <v>4108</v>
      </c>
      <c r="D1114" s="1776" t="s">
        <v>4109</v>
      </c>
      <c r="E1114" s="1776" t="s">
        <v>4110</v>
      </c>
      <c r="F1114" s="1776" t="s">
        <v>3008</v>
      </c>
      <c r="G1114" s="1776" t="s">
        <v>22</v>
      </c>
      <c r="H1114" s="1776" t="s">
        <v>22</v>
      </c>
      <c r="I1114" s="1776" t="s">
        <v>1617</v>
      </c>
    </row>
    <row r="1115" spans="1:9" ht="11.25" customHeight="1">
      <c r="A1115" s="1776" t="s">
        <v>2244</v>
      </c>
      <c r="B1115" s="1776" t="s">
        <v>16</v>
      </c>
      <c r="C1115" s="1776" t="s">
        <v>4111</v>
      </c>
      <c r="D1115" s="1776" t="s">
        <v>4112</v>
      </c>
      <c r="E1115" s="1776" t="s">
        <v>4113</v>
      </c>
      <c r="F1115" s="1776" t="s">
        <v>2280</v>
      </c>
      <c r="G1115" s="1776" t="s">
        <v>22</v>
      </c>
      <c r="H1115" s="1776" t="s">
        <v>22</v>
      </c>
      <c r="I1115" s="1776" t="s">
        <v>1617</v>
      </c>
    </row>
    <row r="1116" spans="1:9" ht="11.25" customHeight="1">
      <c r="A1116" s="1776" t="s">
        <v>2244</v>
      </c>
      <c r="B1116" s="1776" t="s">
        <v>16</v>
      </c>
      <c r="C1116" s="1776" t="s">
        <v>4114</v>
      </c>
      <c r="D1116" s="1776" t="s">
        <v>4115</v>
      </c>
      <c r="E1116" s="1776" t="s">
        <v>4116</v>
      </c>
      <c r="F1116" s="1776" t="s">
        <v>4117</v>
      </c>
      <c r="G1116" s="1776" t="s">
        <v>22</v>
      </c>
      <c r="H1116" s="1776" t="s">
        <v>22</v>
      </c>
      <c r="I1116" s="1776" t="s">
        <v>1617</v>
      </c>
    </row>
    <row r="1117" spans="1:9" ht="11.25" customHeight="1">
      <c r="A1117" s="1776" t="s">
        <v>2244</v>
      </c>
      <c r="B1117" s="1776" t="s">
        <v>16</v>
      </c>
      <c r="C1117" s="1776" t="s">
        <v>3885</v>
      </c>
      <c r="D1117" s="1776" t="s">
        <v>3886</v>
      </c>
      <c r="E1117" s="1776" t="s">
        <v>3887</v>
      </c>
      <c r="F1117" s="1776" t="s">
        <v>2491</v>
      </c>
      <c r="G1117" s="1776" t="s">
        <v>22</v>
      </c>
      <c r="H1117" s="1776" t="s">
        <v>22</v>
      </c>
      <c r="I1117" s="1776" t="s">
        <v>1617</v>
      </c>
    </row>
    <row r="1118" spans="1:9" ht="11.25" customHeight="1">
      <c r="A1118" s="1776" t="s">
        <v>2244</v>
      </c>
      <c r="B1118" s="1776" t="s">
        <v>16</v>
      </c>
      <c r="C1118" s="1776" t="s">
        <v>4118</v>
      </c>
      <c r="D1118" s="1776" t="s">
        <v>4119</v>
      </c>
      <c r="E1118" s="1776" t="s">
        <v>4120</v>
      </c>
      <c r="F1118" s="1776" t="s">
        <v>2368</v>
      </c>
      <c r="G1118" s="1776" t="s">
        <v>22</v>
      </c>
      <c r="H1118" s="1776" t="s">
        <v>22</v>
      </c>
      <c r="I1118" s="1776" t="s">
        <v>1617</v>
      </c>
    </row>
    <row r="1119" spans="1:9" ht="11.25" customHeight="1">
      <c r="A1119" s="1776" t="s">
        <v>2244</v>
      </c>
      <c r="B1119" s="1776" t="s">
        <v>16</v>
      </c>
      <c r="C1119" s="1776" t="s">
        <v>4121</v>
      </c>
      <c r="D1119" s="1776" t="s">
        <v>4122</v>
      </c>
      <c r="E1119" s="1776" t="s">
        <v>4123</v>
      </c>
      <c r="F1119" s="1776" t="s">
        <v>2550</v>
      </c>
      <c r="G1119" s="1776" t="s">
        <v>22</v>
      </c>
      <c r="H1119" s="1776" t="s">
        <v>22</v>
      </c>
      <c r="I1119" s="1776" t="s">
        <v>1617</v>
      </c>
    </row>
    <row r="1120" spans="1:9" ht="11.25" customHeight="1">
      <c r="A1120" s="1776" t="s">
        <v>2244</v>
      </c>
      <c r="B1120" s="1776" t="s">
        <v>16</v>
      </c>
      <c r="C1120" s="1776" t="s">
        <v>4124</v>
      </c>
      <c r="D1120" s="1776" t="s">
        <v>4125</v>
      </c>
      <c r="E1120" s="1776" t="s">
        <v>4126</v>
      </c>
      <c r="F1120" s="1776" t="s">
        <v>4127</v>
      </c>
      <c r="G1120" s="1776" t="s">
        <v>4128</v>
      </c>
      <c r="H1120" s="1776" t="s">
        <v>22</v>
      </c>
      <c r="I1120" s="1776" t="s">
        <v>1617</v>
      </c>
    </row>
    <row r="1121" spans="1:9" ht="11.25" customHeight="1">
      <c r="A1121" s="1776" t="s">
        <v>2244</v>
      </c>
      <c r="B1121" s="1776" t="s">
        <v>16</v>
      </c>
      <c r="C1121" s="1776" t="s">
        <v>4129</v>
      </c>
      <c r="D1121" s="1776" t="s">
        <v>4130</v>
      </c>
      <c r="E1121" s="1776" t="s">
        <v>4131</v>
      </c>
      <c r="F1121" s="1776" t="s">
        <v>2257</v>
      </c>
      <c r="G1121" s="1776" t="s">
        <v>22</v>
      </c>
      <c r="H1121" s="1776" t="s">
        <v>22</v>
      </c>
      <c r="I1121" s="1776" t="s">
        <v>1617</v>
      </c>
    </row>
    <row r="1122" spans="1:9" ht="11.25" customHeight="1">
      <c r="A1122" s="1776" t="s">
        <v>2244</v>
      </c>
      <c r="B1122" s="1776" t="s">
        <v>16</v>
      </c>
      <c r="C1122" s="1776" t="s">
        <v>4132</v>
      </c>
      <c r="D1122" s="1776" t="s">
        <v>4133</v>
      </c>
      <c r="E1122" s="1776" t="s">
        <v>4134</v>
      </c>
      <c r="F1122" s="1776" t="s">
        <v>2550</v>
      </c>
      <c r="G1122" s="1776" t="s">
        <v>22</v>
      </c>
      <c r="H1122" s="1776" t="s">
        <v>22</v>
      </c>
      <c r="I1122" s="1776" t="s">
        <v>1617</v>
      </c>
    </row>
    <row r="1123" spans="1:9" ht="11.25" customHeight="1">
      <c r="A1123" s="1776" t="s">
        <v>2244</v>
      </c>
      <c r="B1123" s="1776" t="s">
        <v>16</v>
      </c>
      <c r="C1123" s="1776" t="s">
        <v>4135</v>
      </c>
      <c r="D1123" s="1776" t="s">
        <v>4136</v>
      </c>
      <c r="E1123" s="1776" t="s">
        <v>4137</v>
      </c>
      <c r="F1123" s="1776" t="s">
        <v>2252</v>
      </c>
      <c r="G1123" s="1776" t="s">
        <v>22</v>
      </c>
      <c r="H1123" s="1776" t="s">
        <v>22</v>
      </c>
      <c r="I1123" s="1776" t="s">
        <v>1617</v>
      </c>
    </row>
    <row r="1124" spans="1:9" ht="11.25" customHeight="1">
      <c r="A1124" s="1776" t="s">
        <v>2244</v>
      </c>
      <c r="B1124" s="1776" t="s">
        <v>16</v>
      </c>
      <c r="C1124" s="1776" t="s">
        <v>4138</v>
      </c>
      <c r="D1124" s="1776" t="s">
        <v>4139</v>
      </c>
      <c r="E1124" s="1776" t="s">
        <v>4137</v>
      </c>
      <c r="F1124" s="1776" t="s">
        <v>4140</v>
      </c>
      <c r="G1124" s="1776" t="s">
        <v>22</v>
      </c>
      <c r="H1124" s="1776" t="s">
        <v>22</v>
      </c>
      <c r="I1124" s="1776" t="s">
        <v>1617</v>
      </c>
    </row>
    <row r="1125" spans="1:9" ht="11.25" customHeight="1">
      <c r="A1125" s="1776" t="s">
        <v>2244</v>
      </c>
      <c r="B1125" s="1776" t="s">
        <v>16</v>
      </c>
      <c r="C1125" s="1776" t="s">
        <v>4141</v>
      </c>
      <c r="D1125" s="1776" t="s">
        <v>4142</v>
      </c>
      <c r="E1125" s="1776" t="s">
        <v>4143</v>
      </c>
      <c r="F1125" s="1776" t="s">
        <v>2962</v>
      </c>
      <c r="G1125" s="1776" t="s">
        <v>22</v>
      </c>
      <c r="H1125" s="1776" t="s">
        <v>22</v>
      </c>
      <c r="I1125" s="1776" t="s">
        <v>1617</v>
      </c>
    </row>
    <row r="1126" spans="1:9" ht="11.25" customHeight="1">
      <c r="A1126" s="1776" t="s">
        <v>2244</v>
      </c>
      <c r="B1126" s="1776" t="s">
        <v>16</v>
      </c>
      <c r="C1126" s="1776" t="s">
        <v>4144</v>
      </c>
      <c r="D1126" s="1776" t="s">
        <v>4145</v>
      </c>
      <c r="E1126" s="1776" t="s">
        <v>4146</v>
      </c>
      <c r="F1126" s="1776" t="s">
        <v>2550</v>
      </c>
      <c r="G1126" s="1776" t="s">
        <v>22</v>
      </c>
      <c r="H1126" s="1776" t="s">
        <v>22</v>
      </c>
      <c r="I1126" s="1776" t="s">
        <v>1617</v>
      </c>
    </row>
    <row r="1127" spans="1:9" ht="11.25" customHeight="1">
      <c r="A1127" s="1776" t="s">
        <v>2244</v>
      </c>
      <c r="B1127" s="1776" t="s">
        <v>16</v>
      </c>
      <c r="C1127" s="1776" t="s">
        <v>4147</v>
      </c>
      <c r="D1127" s="1776" t="s">
        <v>4148</v>
      </c>
      <c r="E1127" s="1776" t="s">
        <v>4149</v>
      </c>
      <c r="F1127" s="1776" t="s">
        <v>2550</v>
      </c>
      <c r="G1127" s="1776" t="s">
        <v>22</v>
      </c>
      <c r="H1127" s="1776" t="s">
        <v>22</v>
      </c>
      <c r="I1127" s="1776" t="s">
        <v>1617</v>
      </c>
    </row>
    <row r="1128" spans="1:9" ht="11.25" customHeight="1">
      <c r="A1128" s="1776" t="s">
        <v>2244</v>
      </c>
      <c r="B1128" s="1776" t="s">
        <v>16</v>
      </c>
      <c r="C1128" s="1776" t="s">
        <v>4150</v>
      </c>
      <c r="D1128" s="1776" t="s">
        <v>4151</v>
      </c>
      <c r="E1128" s="1776" t="s">
        <v>4152</v>
      </c>
      <c r="F1128" s="1776" t="s">
        <v>2368</v>
      </c>
      <c r="G1128" s="1776" t="s">
        <v>22</v>
      </c>
      <c r="H1128" s="1776" t="s">
        <v>22</v>
      </c>
      <c r="I1128" s="1776" t="s">
        <v>1617</v>
      </c>
    </row>
    <row r="1129" spans="1:9" ht="11.25" customHeight="1">
      <c r="A1129" s="1776" t="s">
        <v>2244</v>
      </c>
      <c r="B1129" s="1776" t="s">
        <v>16</v>
      </c>
      <c r="C1129" s="1776" t="s">
        <v>4153</v>
      </c>
      <c r="D1129" s="1776" t="s">
        <v>4154</v>
      </c>
      <c r="E1129" s="1776" t="s">
        <v>4155</v>
      </c>
      <c r="F1129" s="1776" t="s">
        <v>2368</v>
      </c>
      <c r="G1129" s="1776" t="s">
        <v>22</v>
      </c>
      <c r="H1129" s="1776" t="s">
        <v>22</v>
      </c>
      <c r="I1129" s="1776" t="s">
        <v>1617</v>
      </c>
    </row>
    <row r="1130" spans="1:9" ht="11.25" customHeight="1">
      <c r="A1130" s="1776" t="s">
        <v>2244</v>
      </c>
      <c r="B1130" s="1776" t="s">
        <v>16</v>
      </c>
      <c r="C1130" s="1776" t="s">
        <v>4156</v>
      </c>
      <c r="D1130" s="1776" t="s">
        <v>4157</v>
      </c>
      <c r="E1130" s="1776" t="s">
        <v>4158</v>
      </c>
      <c r="F1130" s="1776" t="s">
        <v>2252</v>
      </c>
      <c r="G1130" s="1776" t="s">
        <v>22</v>
      </c>
      <c r="H1130" s="1776" t="s">
        <v>22</v>
      </c>
      <c r="I1130" s="1776" t="s">
        <v>1617</v>
      </c>
    </row>
    <row r="1131" spans="1:9" ht="11.25" customHeight="1">
      <c r="A1131" s="1776" t="s">
        <v>2244</v>
      </c>
      <c r="B1131" s="1776" t="s">
        <v>16</v>
      </c>
      <c r="C1131" s="1776" t="s">
        <v>4159</v>
      </c>
      <c r="D1131" s="1776" t="s">
        <v>4160</v>
      </c>
      <c r="E1131" s="1776" t="s">
        <v>4161</v>
      </c>
      <c r="F1131" s="1776" t="s">
        <v>4162</v>
      </c>
      <c r="G1131" s="1776" t="s">
        <v>22</v>
      </c>
      <c r="H1131" s="1776" t="s">
        <v>22</v>
      </c>
      <c r="I1131" s="1776" t="s">
        <v>1617</v>
      </c>
    </row>
    <row r="1132" spans="1:9" ht="11.25" customHeight="1">
      <c r="A1132" s="1776" t="s">
        <v>2244</v>
      </c>
      <c r="B1132" s="1776" t="s">
        <v>16</v>
      </c>
      <c r="C1132" s="1776" t="s">
        <v>4163</v>
      </c>
      <c r="D1132" s="1776" t="s">
        <v>4164</v>
      </c>
      <c r="E1132" s="1776" t="s">
        <v>4165</v>
      </c>
      <c r="F1132" s="1776" t="s">
        <v>4166</v>
      </c>
      <c r="G1132" s="1776" t="s">
        <v>22</v>
      </c>
      <c r="H1132" s="1776" t="s">
        <v>22</v>
      </c>
      <c r="I1132" s="1776" t="s">
        <v>1617</v>
      </c>
    </row>
    <row r="1133" spans="1:9" ht="11.25" customHeight="1">
      <c r="A1133" s="1776" t="s">
        <v>2244</v>
      </c>
      <c r="B1133" s="1776" t="s">
        <v>16</v>
      </c>
      <c r="C1133" s="1776" t="s">
        <v>4167</v>
      </c>
      <c r="D1133" s="1776" t="s">
        <v>4168</v>
      </c>
      <c r="E1133" s="1776" t="s">
        <v>4169</v>
      </c>
      <c r="F1133" s="1776" t="s">
        <v>2323</v>
      </c>
      <c r="G1133" s="1776" t="s">
        <v>4170</v>
      </c>
      <c r="H1133" s="1776" t="s">
        <v>22</v>
      </c>
      <c r="I1133" s="1776" t="s">
        <v>1617</v>
      </c>
    </row>
    <row r="1134" spans="1:9" ht="11.25" customHeight="1">
      <c r="A1134" s="1776" t="s">
        <v>2244</v>
      </c>
      <c r="B1134" s="1776" t="s">
        <v>16</v>
      </c>
      <c r="C1134" s="1776" t="s">
        <v>4171</v>
      </c>
      <c r="D1134" s="1776" t="s">
        <v>4172</v>
      </c>
      <c r="E1134" s="1776" t="s">
        <v>4173</v>
      </c>
      <c r="F1134" s="1776" t="s">
        <v>2252</v>
      </c>
      <c r="G1134" s="1776" t="s">
        <v>22</v>
      </c>
      <c r="H1134" s="1776" t="s">
        <v>22</v>
      </c>
      <c r="I1134" s="1776" t="s">
        <v>1617</v>
      </c>
    </row>
    <row r="1135" spans="1:9" ht="11.25" customHeight="1">
      <c r="A1135" s="1776" t="s">
        <v>2244</v>
      </c>
      <c r="B1135" s="1776" t="s">
        <v>16</v>
      </c>
      <c r="C1135" s="1776" t="s">
        <v>22</v>
      </c>
      <c r="D1135" s="1776" t="s">
        <v>3590</v>
      </c>
      <c r="E1135" s="1776" t="s">
        <v>3591</v>
      </c>
      <c r="F1135" s="1776" t="s">
        <v>2252</v>
      </c>
      <c r="G1135" s="1776" t="s">
        <v>22</v>
      </c>
      <c r="H1135" s="1776" t="s">
        <v>22</v>
      </c>
      <c r="I1135" s="1776" t="s">
        <v>1617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6"/>
  </cols>
  <sheetData>
    <row r="1" spans="1:7" ht="11.25" customHeight="1">
      <c r="A1" s="311" t="s">
        <v>4174</v>
      </c>
      <c r="B1" s="4" t="s">
        <v>4175</v>
      </c>
      <c r="C1" s="4" t="s">
        <v>4176</v>
      </c>
      <c r="D1" s="4" t="s">
        <v>4177</v>
      </c>
      <c r="E1" s="2" t="s">
        <v>4178</v>
      </c>
      <c r="F1" s="2" t="s">
        <v>4179</v>
      </c>
      <c r="G1" s="2" t="s">
        <v>4180</v>
      </c>
    </row>
    <row r="2" spans="1:7" ht="11.25" customHeight="1">
      <c r="A2" s="311" t="s">
        <v>16</v>
      </c>
      <c r="B2" t="s">
        <v>4181</v>
      </c>
      <c r="C2" t="s">
        <v>4182</v>
      </c>
      <c r="D2" t="s">
        <v>4181</v>
      </c>
      <c r="E2" t="s">
        <v>4182</v>
      </c>
      <c r="F2" t="s">
        <v>4183</v>
      </c>
      <c r="G2" t="s">
        <v>108</v>
      </c>
    </row>
    <row r="3" spans="1:7" ht="11.25" customHeight="1">
      <c r="A3" s="311" t="s">
        <v>16</v>
      </c>
      <c r="B3" t="s">
        <v>4184</v>
      </c>
      <c r="C3" t="s">
        <v>4185</v>
      </c>
      <c r="D3" t="s">
        <v>4184</v>
      </c>
      <c r="E3" t="s">
        <v>4185</v>
      </c>
      <c r="F3" t="s">
        <v>4183</v>
      </c>
      <c r="G3" t="s">
        <v>109</v>
      </c>
    </row>
    <row r="4" spans="1:7" ht="11.25" customHeight="1">
      <c r="A4" s="311" t="s">
        <v>16</v>
      </c>
      <c r="B4" t="s">
        <v>4186</v>
      </c>
      <c r="C4" t="s">
        <v>4187</v>
      </c>
      <c r="D4" t="s">
        <v>4186</v>
      </c>
      <c r="E4" t="s">
        <v>4187</v>
      </c>
      <c r="F4" t="s">
        <v>4183</v>
      </c>
      <c r="G4" t="s">
        <v>89</v>
      </c>
    </row>
    <row r="5" spans="1:7" ht="11.25" customHeight="1">
      <c r="A5" s="311" t="s">
        <v>16</v>
      </c>
      <c r="B5" t="s">
        <v>4188</v>
      </c>
      <c r="C5" t="s">
        <v>4189</v>
      </c>
      <c r="D5" t="s">
        <v>4188</v>
      </c>
      <c r="E5" t="s">
        <v>4189</v>
      </c>
      <c r="F5" t="s">
        <v>4183</v>
      </c>
      <c r="G5" t="s">
        <v>90</v>
      </c>
    </row>
    <row r="6" spans="1:7" ht="11.25" customHeight="1">
      <c r="A6" s="311" t="s">
        <v>16</v>
      </c>
      <c r="B6" t="s">
        <v>4190</v>
      </c>
      <c r="C6" t="s">
        <v>4191</v>
      </c>
      <c r="D6" t="s">
        <v>4190</v>
      </c>
      <c r="E6" t="s">
        <v>4191</v>
      </c>
      <c r="F6" t="s">
        <v>4183</v>
      </c>
      <c r="G6" t="s">
        <v>110</v>
      </c>
    </row>
    <row r="7" spans="1:7" ht="11.25" customHeight="1">
      <c r="A7" s="311" t="s">
        <v>16</v>
      </c>
      <c r="B7" t="s">
        <v>4192</v>
      </c>
      <c r="C7" t="s">
        <v>4193</v>
      </c>
      <c r="D7" t="s">
        <v>4192</v>
      </c>
      <c r="E7" t="s">
        <v>4193</v>
      </c>
      <c r="F7" t="s">
        <v>4183</v>
      </c>
      <c r="G7" t="s">
        <v>91</v>
      </c>
    </row>
    <row r="8" spans="1:7" ht="11.25" customHeight="1">
      <c r="A8" s="311" t="s">
        <v>16</v>
      </c>
      <c r="B8" t="s">
        <v>4194</v>
      </c>
      <c r="C8" t="s">
        <v>4195</v>
      </c>
      <c r="D8" t="s">
        <v>4194</v>
      </c>
      <c r="E8" t="s">
        <v>4195</v>
      </c>
      <c r="F8" t="s">
        <v>4183</v>
      </c>
      <c r="G8" t="s">
        <v>92</v>
      </c>
    </row>
    <row r="9" spans="1:7" ht="11.25" customHeight="1">
      <c r="A9" s="311" t="s">
        <v>16</v>
      </c>
      <c r="B9" t="s">
        <v>4196</v>
      </c>
      <c r="C9" t="s">
        <v>4197</v>
      </c>
      <c r="D9" t="s">
        <v>4196</v>
      </c>
      <c r="E9" t="s">
        <v>4197</v>
      </c>
      <c r="F9" t="s">
        <v>4183</v>
      </c>
      <c r="G9" t="s">
        <v>111</v>
      </c>
    </row>
    <row r="10" spans="1:7" ht="11.25" customHeight="1">
      <c r="A10" s="311" t="s">
        <v>16</v>
      </c>
      <c r="B10" t="s">
        <v>4198</v>
      </c>
      <c r="C10" t="s">
        <v>4199</v>
      </c>
      <c r="D10" t="s">
        <v>4198</v>
      </c>
      <c r="E10" t="s">
        <v>4199</v>
      </c>
      <c r="F10" t="s">
        <v>4183</v>
      </c>
      <c r="G10" t="s">
        <v>148</v>
      </c>
    </row>
    <row r="11" spans="1:7" ht="11.25" customHeight="1">
      <c r="A11" s="311" t="s">
        <v>16</v>
      </c>
      <c r="B11" t="s">
        <v>4200</v>
      </c>
      <c r="C11" t="s">
        <v>4201</v>
      </c>
      <c r="D11" t="s">
        <v>4200</v>
      </c>
      <c r="E11" t="s">
        <v>4201</v>
      </c>
      <c r="F11" t="s">
        <v>4183</v>
      </c>
      <c r="G11" t="s">
        <v>149</v>
      </c>
    </row>
    <row r="12" spans="1:7" ht="11.25" customHeight="1">
      <c r="A12" s="311" t="s">
        <v>16</v>
      </c>
      <c r="B12" t="s">
        <v>4202</v>
      </c>
      <c r="C12" t="s">
        <v>4203</v>
      </c>
      <c r="D12" t="s">
        <v>4202</v>
      </c>
      <c r="E12" t="s">
        <v>4203</v>
      </c>
      <c r="F12" t="s">
        <v>4183</v>
      </c>
      <c r="G12" t="s">
        <v>150</v>
      </c>
    </row>
    <row r="13" spans="1:7" ht="11.25" customHeight="1">
      <c r="A13" s="311" t="s">
        <v>16</v>
      </c>
      <c r="B13" t="s">
        <v>4204</v>
      </c>
      <c r="C13" t="s">
        <v>4205</v>
      </c>
      <c r="D13" t="s">
        <v>4204</v>
      </c>
      <c r="E13" t="s">
        <v>4205</v>
      </c>
      <c r="F13" t="s">
        <v>4183</v>
      </c>
      <c r="G13" t="s">
        <v>151</v>
      </c>
    </row>
    <row r="14" spans="1:7" ht="11.25" customHeight="1">
      <c r="A14" s="311" t="s">
        <v>16</v>
      </c>
      <c r="B14" t="s">
        <v>4206</v>
      </c>
      <c r="C14" t="s">
        <v>4207</v>
      </c>
      <c r="D14" t="s">
        <v>4206</v>
      </c>
      <c r="E14" t="s">
        <v>4207</v>
      </c>
      <c r="F14" t="s">
        <v>4208</v>
      </c>
      <c r="G14" t="s">
        <v>152</v>
      </c>
    </row>
    <row r="15" spans="1:7" ht="11.25" customHeight="1">
      <c r="A15" s="311" t="s">
        <v>16</v>
      </c>
      <c r="B15" t="s">
        <v>4209</v>
      </c>
      <c r="C15" t="s">
        <v>4210</v>
      </c>
      <c r="D15" t="s">
        <v>4209</v>
      </c>
      <c r="E15" t="s">
        <v>4210</v>
      </c>
      <c r="F15" t="s">
        <v>4183</v>
      </c>
      <c r="G15" t="s">
        <v>153</v>
      </c>
    </row>
    <row r="16" spans="1:7" ht="11.25" customHeight="1">
      <c r="A16" s="311" t="s">
        <v>16</v>
      </c>
      <c r="B16" t="s">
        <v>4211</v>
      </c>
      <c r="C16" t="s">
        <v>4212</v>
      </c>
      <c r="D16" t="s">
        <v>4211</v>
      </c>
      <c r="E16" t="s">
        <v>4212</v>
      </c>
      <c r="F16" t="s">
        <v>4183</v>
      </c>
      <c r="G16" t="s">
        <v>1461</v>
      </c>
    </row>
    <row r="17" spans="1:7" ht="11.25" customHeight="1">
      <c r="A17" s="311" t="s">
        <v>16</v>
      </c>
      <c r="B17" t="s">
        <v>4213</v>
      </c>
      <c r="C17" t="s">
        <v>4214</v>
      </c>
      <c r="D17" t="s">
        <v>4213</v>
      </c>
      <c r="E17" t="s">
        <v>4214</v>
      </c>
      <c r="F17" t="s">
        <v>4183</v>
      </c>
      <c r="G17" t="s">
        <v>1467</v>
      </c>
    </row>
    <row r="18" spans="1:7" ht="11.25" customHeight="1">
      <c r="A18" s="311" t="s">
        <v>16</v>
      </c>
      <c r="B18" t="s">
        <v>4215</v>
      </c>
      <c r="C18" t="s">
        <v>4216</v>
      </c>
      <c r="D18" t="s">
        <v>4215</v>
      </c>
      <c r="E18" t="s">
        <v>4216</v>
      </c>
      <c r="F18" t="s">
        <v>4183</v>
      </c>
      <c r="G18" t="s">
        <v>1479</v>
      </c>
    </row>
    <row r="19" spans="1:7" ht="11.25" customHeight="1">
      <c r="A19" s="311" t="s">
        <v>16</v>
      </c>
      <c r="B19" t="s">
        <v>4217</v>
      </c>
      <c r="C19" t="s">
        <v>4218</v>
      </c>
      <c r="D19" t="s">
        <v>4217</v>
      </c>
      <c r="E19" t="s">
        <v>4218</v>
      </c>
      <c r="F19" t="s">
        <v>4183</v>
      </c>
      <c r="G19" t="s">
        <v>1493</v>
      </c>
    </row>
    <row r="20" spans="1:7" ht="11.25" customHeight="1">
      <c r="A20" s="311" t="s">
        <v>16</v>
      </c>
      <c r="B20" t="s">
        <v>4219</v>
      </c>
      <c r="C20" t="s">
        <v>4220</v>
      </c>
      <c r="D20" t="s">
        <v>4219</v>
      </c>
      <c r="E20" t="s">
        <v>4220</v>
      </c>
      <c r="F20" t="s">
        <v>4208</v>
      </c>
      <c r="G20" t="s">
        <v>1505</v>
      </c>
    </row>
    <row r="21" spans="1:7" ht="11.25" customHeight="1">
      <c r="A21" s="311" t="s">
        <v>16</v>
      </c>
      <c r="B21" t="s">
        <v>4221</v>
      </c>
      <c r="C21" t="s">
        <v>4222</v>
      </c>
      <c r="D21" t="s">
        <v>4221</v>
      </c>
      <c r="E21" t="s">
        <v>4222</v>
      </c>
      <c r="F21" t="s">
        <v>4183</v>
      </c>
      <c r="G21" t="s">
        <v>1514</v>
      </c>
    </row>
    <row r="22" spans="1:7" ht="11.25" customHeight="1">
      <c r="A22" s="311" t="s">
        <v>16</v>
      </c>
      <c r="B22" t="s">
        <v>4223</v>
      </c>
      <c r="C22" t="s">
        <v>4224</v>
      </c>
      <c r="D22" t="s">
        <v>4223</v>
      </c>
      <c r="E22" t="s">
        <v>4224</v>
      </c>
      <c r="F22" t="s">
        <v>4183</v>
      </c>
      <c r="G22" t="s">
        <v>1530</v>
      </c>
    </row>
    <row r="23" spans="1:7" ht="11.25" customHeight="1">
      <c r="A23" s="311" t="s">
        <v>16</v>
      </c>
      <c r="B23" t="s">
        <v>4225</v>
      </c>
      <c r="C23" t="s">
        <v>4226</v>
      </c>
      <c r="D23" t="s">
        <v>4225</v>
      </c>
      <c r="E23" t="s">
        <v>4226</v>
      </c>
      <c r="F23" t="s">
        <v>4183</v>
      </c>
      <c r="G23" t="s">
        <v>1537</v>
      </c>
    </row>
    <row r="24" spans="1:7" ht="11.25" customHeight="1">
      <c r="A24" s="311" t="s">
        <v>16</v>
      </c>
      <c r="B24" t="s">
        <v>4227</v>
      </c>
      <c r="C24" t="s">
        <v>4228</v>
      </c>
      <c r="D24" t="s">
        <v>4227</v>
      </c>
      <c r="E24" t="s">
        <v>4228</v>
      </c>
      <c r="F24" t="s">
        <v>4183</v>
      </c>
      <c r="G24" t="s">
        <v>1545</v>
      </c>
    </row>
    <row r="25" spans="1:7" ht="11.25" customHeight="1">
      <c r="A25" s="311" t="s">
        <v>16</v>
      </c>
      <c r="B25" t="s">
        <v>4229</v>
      </c>
      <c r="C25" t="s">
        <v>4230</v>
      </c>
      <c r="D25" t="s">
        <v>4229</v>
      </c>
      <c r="E25" t="s">
        <v>4230</v>
      </c>
      <c r="F25" t="s">
        <v>4183</v>
      </c>
      <c r="G25" t="s">
        <v>1552</v>
      </c>
    </row>
    <row r="26" spans="1:7" ht="11.25" customHeight="1">
      <c r="A26" s="311" t="s">
        <v>16</v>
      </c>
      <c r="B26" t="s">
        <v>4231</v>
      </c>
      <c r="C26" t="s">
        <v>4232</v>
      </c>
      <c r="D26" t="s">
        <v>4231</v>
      </c>
      <c r="E26" t="s">
        <v>4232</v>
      </c>
      <c r="F26" t="s">
        <v>4183</v>
      </c>
      <c r="G26" t="s">
        <v>1556</v>
      </c>
    </row>
    <row r="27" spans="1:7" ht="11.25" customHeight="1">
      <c r="A27" s="311" t="s">
        <v>16</v>
      </c>
      <c r="B27" t="s">
        <v>4233</v>
      </c>
      <c r="C27" t="s">
        <v>4234</v>
      </c>
      <c r="D27" t="s">
        <v>4233</v>
      </c>
      <c r="E27" t="s">
        <v>4234</v>
      </c>
      <c r="F27" t="s">
        <v>4183</v>
      </c>
      <c r="G27" t="s">
        <v>1561</v>
      </c>
    </row>
    <row r="28" spans="1:7" ht="11.25" customHeight="1">
      <c r="A28" s="311" t="s">
        <v>16</v>
      </c>
      <c r="B28" t="s">
        <v>4235</v>
      </c>
      <c r="C28" t="s">
        <v>4236</v>
      </c>
      <c r="D28" t="s">
        <v>4235</v>
      </c>
      <c r="E28" t="s">
        <v>4236</v>
      </c>
      <c r="F28" t="s">
        <v>4208</v>
      </c>
      <c r="G28" t="s">
        <v>1569</v>
      </c>
    </row>
    <row r="29" spans="1:7" ht="11.25" customHeight="1">
      <c r="A29" s="311" t="s">
        <v>16</v>
      </c>
      <c r="B29" t="s">
        <v>4237</v>
      </c>
      <c r="C29" t="s">
        <v>4238</v>
      </c>
      <c r="D29" t="s">
        <v>4237</v>
      </c>
      <c r="E29" t="s">
        <v>4238</v>
      </c>
      <c r="F29" t="s">
        <v>4183</v>
      </c>
      <c r="G29" t="s">
        <v>1571</v>
      </c>
    </row>
    <row r="30" spans="1:7" ht="11.25" customHeight="1">
      <c r="A30" s="311" t="s">
        <v>16</v>
      </c>
      <c r="B30" t="s">
        <v>4239</v>
      </c>
      <c r="C30" t="s">
        <v>4240</v>
      </c>
      <c r="D30" t="s">
        <v>4239</v>
      </c>
      <c r="E30" t="s">
        <v>4240</v>
      </c>
      <c r="F30" t="s">
        <v>4208</v>
      </c>
      <c r="G30" t="s">
        <v>1574</v>
      </c>
    </row>
    <row r="31" spans="1:7" ht="11.25" customHeight="1">
      <c r="A31" s="311" t="s">
        <v>16</v>
      </c>
      <c r="B31" t="s">
        <v>4241</v>
      </c>
      <c r="C31" t="s">
        <v>4242</v>
      </c>
      <c r="D31" t="s">
        <v>4241</v>
      </c>
      <c r="E31" t="s">
        <v>4242</v>
      </c>
      <c r="F31" t="s">
        <v>4183</v>
      </c>
      <c r="G31" t="s">
        <v>1580</v>
      </c>
    </row>
    <row r="32" spans="1:7" ht="11.25" customHeight="1">
      <c r="A32" s="311" t="s">
        <v>16</v>
      </c>
      <c r="B32" t="s">
        <v>4243</v>
      </c>
      <c r="C32" t="s">
        <v>4244</v>
      </c>
      <c r="D32" t="s">
        <v>4243</v>
      </c>
      <c r="E32" t="s">
        <v>4244</v>
      </c>
      <c r="F32" t="s">
        <v>4183</v>
      </c>
      <c r="G32" t="s">
        <v>1582</v>
      </c>
    </row>
    <row r="33" spans="1:7" ht="11.25" customHeight="1">
      <c r="A33" s="311" t="s">
        <v>16</v>
      </c>
      <c r="B33" t="s">
        <v>4245</v>
      </c>
      <c r="C33" t="s">
        <v>4246</v>
      </c>
      <c r="D33" t="s">
        <v>4245</v>
      </c>
      <c r="E33" t="s">
        <v>4246</v>
      </c>
      <c r="F33" t="s">
        <v>4208</v>
      </c>
      <c r="G33" t="s">
        <v>1584</v>
      </c>
    </row>
    <row r="34" spans="1:7" ht="11.25" customHeight="1">
      <c r="A34" s="311" t="s">
        <v>16</v>
      </c>
      <c r="B34" t="s">
        <v>4247</v>
      </c>
      <c r="C34" t="s">
        <v>4248</v>
      </c>
      <c r="D34" t="s">
        <v>4247</v>
      </c>
      <c r="E34" t="s">
        <v>4248</v>
      </c>
      <c r="F34" t="s">
        <v>4183</v>
      </c>
      <c r="G34" t="s">
        <v>1586</v>
      </c>
    </row>
    <row r="35" spans="1:7" ht="11.25" customHeight="1">
      <c r="A35" s="311" t="s">
        <v>16</v>
      </c>
      <c r="B35" t="s">
        <v>4249</v>
      </c>
      <c r="C35" t="s">
        <v>4250</v>
      </c>
      <c r="D35" t="s">
        <v>4249</v>
      </c>
      <c r="E35" t="s">
        <v>4250</v>
      </c>
      <c r="F35" t="s">
        <v>4183</v>
      </c>
      <c r="G35" t="s">
        <v>1591</v>
      </c>
    </row>
    <row r="36" spans="1:7" ht="11.25" customHeight="1">
      <c r="A36" s="311" t="s">
        <v>16</v>
      </c>
      <c r="B36" t="s">
        <v>4251</v>
      </c>
      <c r="C36" t="s">
        <v>4252</v>
      </c>
      <c r="D36" t="s">
        <v>4251</v>
      </c>
      <c r="E36" t="s">
        <v>4252</v>
      </c>
      <c r="F36" t="s">
        <v>4208</v>
      </c>
      <c r="G36" t="s">
        <v>1596</v>
      </c>
    </row>
    <row r="37" spans="1:7" ht="11.25" customHeight="1">
      <c r="A37" s="311" t="s">
        <v>16</v>
      </c>
      <c r="B37" t="s">
        <v>4253</v>
      </c>
      <c r="C37" t="s">
        <v>4254</v>
      </c>
      <c r="D37" t="s">
        <v>4253</v>
      </c>
      <c r="E37" t="s">
        <v>4254</v>
      </c>
      <c r="F37" t="s">
        <v>4183</v>
      </c>
      <c r="G37" t="s">
        <v>1600</v>
      </c>
    </row>
    <row r="38" spans="1:7" ht="11.25" customHeight="1">
      <c r="A38" s="311" t="s">
        <v>16</v>
      </c>
      <c r="B38" t="s">
        <v>4255</v>
      </c>
      <c r="C38" t="s">
        <v>4256</v>
      </c>
      <c r="D38" t="s">
        <v>4255</v>
      </c>
      <c r="E38" t="s">
        <v>4256</v>
      </c>
      <c r="F38" t="s">
        <v>4183</v>
      </c>
      <c r="G38" t="s">
        <v>1608</v>
      </c>
    </row>
    <row r="39" spans="1:7" ht="11.25" customHeight="1">
      <c r="A39" s="311" t="s">
        <v>16</v>
      </c>
      <c r="B39" t="s">
        <v>4257</v>
      </c>
      <c r="C39" t="s">
        <v>4258</v>
      </c>
      <c r="D39" t="s">
        <v>4257</v>
      </c>
      <c r="E39" t="s">
        <v>4258</v>
      </c>
      <c r="F39" t="s">
        <v>4183</v>
      </c>
      <c r="G39" t="s">
        <v>1614</v>
      </c>
    </row>
    <row r="40" spans="1:7" ht="11.25" customHeight="1">
      <c r="A40" s="311" t="s">
        <v>16</v>
      </c>
      <c r="B40" t="s">
        <v>4259</v>
      </c>
      <c r="C40" t="s">
        <v>4260</v>
      </c>
      <c r="D40" t="s">
        <v>4259</v>
      </c>
      <c r="E40" t="s">
        <v>4260</v>
      </c>
      <c r="F40" t="s">
        <v>4183</v>
      </c>
      <c r="G40" t="s">
        <v>1618</v>
      </c>
    </row>
    <row r="41" spans="1:7" ht="11.25" customHeight="1">
      <c r="A41" s="311" t="s">
        <v>16</v>
      </c>
      <c r="B41" t="s">
        <v>4261</v>
      </c>
      <c r="C41" t="s">
        <v>4262</v>
      </c>
      <c r="D41" t="s">
        <v>4261</v>
      </c>
      <c r="E41" t="s">
        <v>4262</v>
      </c>
      <c r="F41" t="s">
        <v>4183</v>
      </c>
      <c r="G41" t="s">
        <v>1622</v>
      </c>
    </row>
    <row r="42" spans="1:7" ht="11.25" customHeight="1">
      <c r="A42" s="311" t="s">
        <v>16</v>
      </c>
      <c r="B42" t="s">
        <v>4263</v>
      </c>
      <c r="C42" t="s">
        <v>4264</v>
      </c>
      <c r="D42" t="s">
        <v>4263</v>
      </c>
      <c r="E42" t="s">
        <v>4264</v>
      </c>
      <c r="F42" t="s">
        <v>4183</v>
      </c>
      <c r="G42" t="s">
        <v>1625</v>
      </c>
    </row>
    <row r="43" spans="1:7" ht="11.25" customHeight="1">
      <c r="A43" s="311" t="s">
        <v>16</v>
      </c>
      <c r="B43" t="s">
        <v>4265</v>
      </c>
      <c r="C43" t="s">
        <v>4266</v>
      </c>
      <c r="D43" t="s">
        <v>4265</v>
      </c>
      <c r="E43" t="s">
        <v>4266</v>
      </c>
      <c r="F43" t="s">
        <v>4183</v>
      </c>
      <c r="G43" t="s">
        <v>1632</v>
      </c>
    </row>
    <row r="44" spans="1:7" ht="11.25" customHeight="1">
      <c r="A44" s="311" t="s">
        <v>16</v>
      </c>
      <c r="B44" t="s">
        <v>4267</v>
      </c>
      <c r="C44" t="s">
        <v>4268</v>
      </c>
      <c r="D44" t="s">
        <v>4267</v>
      </c>
      <c r="E44" t="s">
        <v>4268</v>
      </c>
      <c r="F44" t="s">
        <v>4208</v>
      </c>
      <c r="G44" t="s">
        <v>1641</v>
      </c>
    </row>
    <row r="45" spans="1:7" ht="11.25" customHeight="1">
      <c r="A45" s="311" t="s">
        <v>16</v>
      </c>
      <c r="B45" t="s">
        <v>4269</v>
      </c>
      <c r="C45" t="s">
        <v>4270</v>
      </c>
      <c r="D45" t="s">
        <v>4269</v>
      </c>
      <c r="E45" t="s">
        <v>4270</v>
      </c>
      <c r="F45" t="s">
        <v>4208</v>
      </c>
      <c r="G45" t="s">
        <v>1646</v>
      </c>
    </row>
    <row r="46" spans="1:7" ht="11.25" customHeight="1">
      <c r="A46" s="311" t="s">
        <v>16</v>
      </c>
      <c r="B46" t="s">
        <v>4271</v>
      </c>
      <c r="C46" t="s">
        <v>4272</v>
      </c>
      <c r="D46" t="s">
        <v>4271</v>
      </c>
      <c r="E46" t="s">
        <v>4272</v>
      </c>
      <c r="F46" t="s">
        <v>4208</v>
      </c>
      <c r="G46" t="s">
        <v>1649</v>
      </c>
    </row>
    <row r="47" spans="1:7" ht="11.25" customHeight="1">
      <c r="A47" s="311" t="s">
        <v>16</v>
      </c>
      <c r="B47" t="s">
        <v>4273</v>
      </c>
      <c r="C47" t="s">
        <v>4274</v>
      </c>
      <c r="D47" t="s">
        <v>4273</v>
      </c>
      <c r="E47" t="s">
        <v>4274</v>
      </c>
      <c r="F47" t="s">
        <v>4208</v>
      </c>
      <c r="G47" t="s">
        <v>1655</v>
      </c>
    </row>
    <row r="48" spans="1:7" ht="11.25" customHeight="1">
      <c r="A48" s="311" t="s">
        <v>16</v>
      </c>
      <c r="B48" t="s">
        <v>4275</v>
      </c>
      <c r="C48" t="s">
        <v>4276</v>
      </c>
      <c r="D48" t="s">
        <v>4275</v>
      </c>
      <c r="E48" t="s">
        <v>4276</v>
      </c>
      <c r="F48" t="s">
        <v>4208</v>
      </c>
      <c r="G48" t="s">
        <v>1660</v>
      </c>
    </row>
    <row r="49" spans="1:7" ht="11.25" customHeight="1">
      <c r="A49" s="311" t="s">
        <v>16</v>
      </c>
      <c r="B49" t="s">
        <v>99</v>
      </c>
      <c r="C49" t="s">
        <v>100</v>
      </c>
      <c r="D49" t="s">
        <v>99</v>
      </c>
      <c r="E49" t="s">
        <v>100</v>
      </c>
      <c r="F49" t="s">
        <v>4208</v>
      </c>
      <c r="G49" t="s">
        <v>98</v>
      </c>
    </row>
    <row r="50" spans="1:7" ht="11.25" customHeight="1">
      <c r="A50" s="311" t="s">
        <v>16</v>
      </c>
      <c r="B50" t="s">
        <v>4277</v>
      </c>
      <c r="C50" t="s">
        <v>4278</v>
      </c>
      <c r="D50" t="s">
        <v>4277</v>
      </c>
      <c r="E50" t="s">
        <v>4278</v>
      </c>
      <c r="F50" t="s">
        <v>4208</v>
      </c>
      <c r="G50" t="s">
        <v>1666</v>
      </c>
    </row>
    <row r="51" spans="1:7" ht="11.25" customHeight="1">
      <c r="A51" s="311" t="s">
        <v>16</v>
      </c>
      <c r="B51" t="s">
        <v>4279</v>
      </c>
      <c r="C51" t="s">
        <v>4280</v>
      </c>
      <c r="D51" t="s">
        <v>4279</v>
      </c>
      <c r="E51" t="s">
        <v>4280</v>
      </c>
      <c r="F51" t="s">
        <v>4208</v>
      </c>
      <c r="G51" t="s">
        <v>1671</v>
      </c>
    </row>
    <row r="52" spans="1:7" ht="11.25" customHeight="1">
      <c r="A52" s="311" t="s">
        <v>16</v>
      </c>
      <c r="B52" t="s">
        <v>4281</v>
      </c>
      <c r="C52" t="s">
        <v>4282</v>
      </c>
      <c r="D52" t="s">
        <v>4281</v>
      </c>
      <c r="E52" t="s">
        <v>4282</v>
      </c>
      <c r="F52" t="s">
        <v>4208</v>
      </c>
      <c r="G52" t="s">
        <v>1675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
  <sheetViews>
    <sheetView showGridLines="0" workbookViewId="0"/>
  </sheetViews>
  <sheetFormatPr defaultColWidth="9.140625" defaultRowHeight="11.25" customHeight="1"/>
  <cols>
    <col min="1" max="1" width="13.85546875" style="1619" customWidth="1"/>
    <col min="2" max="2" width="10.42578125" style="1619" customWidth="1"/>
    <col min="3" max="3" width="7.5703125" style="1619" customWidth="1"/>
    <col min="4" max="4" width="13.85546875" style="1619" customWidth="1"/>
    <col min="5" max="5" width="11.5703125" style="1619" customWidth="1"/>
    <col min="6" max="6" width="16.28515625" style="1619" customWidth="1"/>
    <col min="7" max="7" width="16" style="1619" customWidth="1"/>
    <col min="8" max="9" width="16.140625" style="1619" customWidth="1"/>
  </cols>
  <sheetData>
    <row r="1" spans="1:9" ht="11.25" customHeight="1">
      <c r="A1" s="767" t="s">
        <v>4283</v>
      </c>
      <c r="B1" s="767" t="s">
        <v>4284</v>
      </c>
      <c r="C1" s="1087" t="s">
        <v>4285</v>
      </c>
      <c r="D1" s="767" t="s">
        <v>4286</v>
      </c>
      <c r="E1" s="767" t="s">
        <v>4287</v>
      </c>
      <c r="F1" s="1087" t="s">
        <v>4288</v>
      </c>
      <c r="G1" s="1087" t="s">
        <v>4289</v>
      </c>
      <c r="H1" s="1087" t="s">
        <v>4290</v>
      </c>
      <c r="I1" s="1087" t="s">
        <v>4291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4292</v>
      </c>
    </row>
    <row r="2" spans="1:2" ht="11.25" customHeight="1">
      <c r="A2" s="121" t="s">
        <v>97</v>
      </c>
      <c r="B2" s="121" t="s">
        <v>4293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4294</v>
      </c>
      <c r="B1" s="767" t="s">
        <v>4295</v>
      </c>
    </row>
    <row r="2" spans="1:2" ht="11.25" customHeight="1">
      <c r="A2" s="767">
        <v>4213775</v>
      </c>
      <c r="B2" s="767" t="s">
        <v>1217</v>
      </c>
    </row>
    <row r="3" spans="1:2" ht="11.25" customHeight="1">
      <c r="A3" s="767">
        <v>4213784</v>
      </c>
      <c r="B3" s="767" t="s">
        <v>1252</v>
      </c>
    </row>
    <row r="4" spans="1:2" ht="11.25" customHeight="1">
      <c r="A4" s="767">
        <v>4213781</v>
      </c>
      <c r="B4" s="767" t="s">
        <v>1245</v>
      </c>
    </row>
    <row r="5" spans="1:2" ht="11.25" customHeight="1">
      <c r="A5" s="767">
        <v>4213776</v>
      </c>
      <c r="B5" s="767" t="s">
        <v>166</v>
      </c>
    </row>
    <row r="6" spans="1:2" ht="11.25" customHeight="1">
      <c r="A6" s="767">
        <v>4213777</v>
      </c>
      <c r="B6" s="767" t="s">
        <v>172</v>
      </c>
    </row>
    <row r="7" spans="1:2" ht="11.25" customHeight="1">
      <c r="A7" s="767">
        <v>4213778</v>
      </c>
      <c r="B7" s="767" t="s">
        <v>178</v>
      </c>
    </row>
    <row r="8" spans="1:2" ht="11.25" customHeight="1">
      <c r="A8" s="767">
        <v>4213780</v>
      </c>
      <c r="B8" s="767" t="s">
        <v>184</v>
      </c>
    </row>
    <row r="9" spans="1:2" ht="11.25" customHeight="1">
      <c r="A9" s="767">
        <v>4213779</v>
      </c>
      <c r="B9" s="767" t="s">
        <v>1386</v>
      </c>
    </row>
    <row r="10" spans="1:2" ht="11.25" customHeight="1">
      <c r="A10" s="767">
        <v>4213783</v>
      </c>
      <c r="B10" s="767" t="s">
        <v>1401</v>
      </c>
    </row>
    <row r="11" spans="1:2" ht="11.25" customHeight="1">
      <c r="A11" s="767">
        <v>4213782</v>
      </c>
      <c r="B11" s="767"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8"/>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4294</v>
      </c>
      <c r="B1" s="767" t="s">
        <v>4296</v>
      </c>
    </row>
    <row r="2" spans="1:2" ht="11.25" customHeight="1">
      <c r="A2" s="767" t="s">
        <v>4297</v>
      </c>
      <c r="B2" s="767" t="s">
        <v>1500</v>
      </c>
    </row>
    <row r="3" spans="1:2" ht="11.25" customHeight="1">
      <c r="A3" s="767" t="s">
        <v>4298</v>
      </c>
      <c r="B3" s="767" t="s">
        <v>1510</v>
      </c>
    </row>
    <row r="4" spans="1:2" ht="11.25" customHeight="1">
      <c r="A4" s="767" t="s">
        <v>4299</v>
      </c>
      <c r="B4" s="767" t="s">
        <v>1519</v>
      </c>
    </row>
    <row r="5" spans="1:2" ht="11.25" customHeight="1">
      <c r="A5" s="767" t="s">
        <v>117</v>
      </c>
      <c r="B5" s="767" t="s">
        <v>1528</v>
      </c>
    </row>
    <row r="6" spans="1:2" ht="11.25" customHeight="1">
      <c r="A6" s="767" t="s">
        <v>4300</v>
      </c>
      <c r="B6" s="767" t="s">
        <v>1534</v>
      </c>
    </row>
    <row r="7" spans="1:2" ht="11.25" customHeight="1">
      <c r="A7" s="767" t="s">
        <v>4301</v>
      </c>
      <c r="B7" s="767" t="s">
        <v>1542</v>
      </c>
    </row>
    <row r="8" spans="1:2" ht="11.25" customHeight="1">
      <c r="A8" s="767" t="s">
        <v>4302</v>
      </c>
      <c r="B8" s="767" t="s">
        <v>1549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1" t="s">
        <v>4174</v>
      </c>
      <c r="B1" s="311" t="s">
        <v>4175</v>
      </c>
      <c r="C1" s="311" t="s">
        <v>4176</v>
      </c>
      <c r="D1" s="311" t="s">
        <v>4177</v>
      </c>
      <c r="E1" t="s">
        <v>4178</v>
      </c>
      <c r="F1" t="s">
        <v>4179</v>
      </c>
      <c r="G1" t="s">
        <v>4180</v>
      </c>
    </row>
    <row r="2" spans="1:7" ht="11.25" customHeight="1">
      <c r="A2" t="s">
        <v>16</v>
      </c>
      <c r="B2" t="s">
        <v>4181</v>
      </c>
      <c r="C2" t="s">
        <v>4182</v>
      </c>
      <c r="D2" t="s">
        <v>4181</v>
      </c>
      <c r="E2" t="s">
        <v>4182</v>
      </c>
      <c r="F2" t="s">
        <v>4183</v>
      </c>
      <c r="G2" t="s">
        <v>108</v>
      </c>
    </row>
    <row r="3" spans="1:7" ht="11.25" customHeight="1">
      <c r="A3" t="s">
        <v>16</v>
      </c>
      <c r="B3" t="s">
        <v>4184</v>
      </c>
      <c r="C3" t="s">
        <v>4185</v>
      </c>
      <c r="D3" t="s">
        <v>4184</v>
      </c>
      <c r="E3" t="s">
        <v>4185</v>
      </c>
      <c r="F3" t="s">
        <v>4183</v>
      </c>
      <c r="G3" t="s">
        <v>109</v>
      </c>
    </row>
    <row r="4" spans="1:7" ht="11.25" customHeight="1">
      <c r="A4" t="s">
        <v>16</v>
      </c>
      <c r="B4" t="s">
        <v>4186</v>
      </c>
      <c r="C4" t="s">
        <v>4187</v>
      </c>
      <c r="D4" t="s">
        <v>4186</v>
      </c>
      <c r="E4" t="s">
        <v>4187</v>
      </c>
      <c r="F4" t="s">
        <v>4183</v>
      </c>
      <c r="G4" t="s">
        <v>89</v>
      </c>
    </row>
    <row r="5" spans="1:7" ht="11.25" customHeight="1">
      <c r="A5" t="s">
        <v>16</v>
      </c>
      <c r="B5" t="s">
        <v>4188</v>
      </c>
      <c r="C5" t="s">
        <v>4189</v>
      </c>
      <c r="D5" t="s">
        <v>4188</v>
      </c>
      <c r="E5" t="s">
        <v>4189</v>
      </c>
      <c r="F5" t="s">
        <v>4183</v>
      </c>
      <c r="G5" t="s">
        <v>90</v>
      </c>
    </row>
    <row r="6" spans="1:7" ht="11.25" customHeight="1">
      <c r="A6" t="s">
        <v>16</v>
      </c>
      <c r="B6" t="s">
        <v>4190</v>
      </c>
      <c r="C6" t="s">
        <v>4191</v>
      </c>
      <c r="D6" t="s">
        <v>4190</v>
      </c>
      <c r="E6" t="s">
        <v>4191</v>
      </c>
      <c r="F6" t="s">
        <v>4183</v>
      </c>
      <c r="G6" t="s">
        <v>110</v>
      </c>
    </row>
    <row r="7" spans="1:7" ht="11.25" customHeight="1">
      <c r="A7" t="s">
        <v>16</v>
      </c>
      <c r="B7" t="s">
        <v>4192</v>
      </c>
      <c r="C7" t="s">
        <v>4193</v>
      </c>
      <c r="D7" t="s">
        <v>4192</v>
      </c>
      <c r="E7" t="s">
        <v>4193</v>
      </c>
      <c r="F7" t="s">
        <v>4183</v>
      </c>
      <c r="G7" t="s">
        <v>91</v>
      </c>
    </row>
    <row r="8" spans="1:7" ht="11.25" customHeight="1">
      <c r="A8" t="s">
        <v>16</v>
      </c>
      <c r="B8" t="s">
        <v>4194</v>
      </c>
      <c r="C8" t="s">
        <v>4195</v>
      </c>
      <c r="D8" t="s">
        <v>4194</v>
      </c>
      <c r="E8" t="s">
        <v>4195</v>
      </c>
      <c r="F8" t="s">
        <v>4183</v>
      </c>
      <c r="G8" t="s">
        <v>92</v>
      </c>
    </row>
    <row r="9" spans="1:7" ht="11.25" customHeight="1">
      <c r="A9" t="s">
        <v>16</v>
      </c>
      <c r="B9" t="s">
        <v>4196</v>
      </c>
      <c r="C9" t="s">
        <v>4197</v>
      </c>
      <c r="D9" t="s">
        <v>4196</v>
      </c>
      <c r="E9" t="s">
        <v>4197</v>
      </c>
      <c r="F9" t="s">
        <v>4183</v>
      </c>
      <c r="G9" t="s">
        <v>111</v>
      </c>
    </row>
    <row r="10" spans="1:7" ht="11.25" customHeight="1">
      <c r="A10" t="s">
        <v>16</v>
      </c>
      <c r="B10" t="s">
        <v>4198</v>
      </c>
      <c r="C10" t="s">
        <v>4199</v>
      </c>
      <c r="D10" t="s">
        <v>4198</v>
      </c>
      <c r="E10" t="s">
        <v>4199</v>
      </c>
      <c r="F10" t="s">
        <v>4183</v>
      </c>
      <c r="G10" t="s">
        <v>148</v>
      </c>
    </row>
    <row r="11" spans="1:7" ht="11.25" customHeight="1">
      <c r="A11" t="s">
        <v>16</v>
      </c>
      <c r="B11" t="s">
        <v>4200</v>
      </c>
      <c r="C11" t="s">
        <v>4201</v>
      </c>
      <c r="D11" t="s">
        <v>4200</v>
      </c>
      <c r="E11" t="s">
        <v>4201</v>
      </c>
      <c r="F11" t="s">
        <v>4183</v>
      </c>
      <c r="G11" t="s">
        <v>149</v>
      </c>
    </row>
    <row r="12" spans="1:7" ht="11.25" customHeight="1">
      <c r="A12" t="s">
        <v>16</v>
      </c>
      <c r="B12" t="s">
        <v>4202</v>
      </c>
      <c r="C12" t="s">
        <v>4203</v>
      </c>
      <c r="D12" t="s">
        <v>4202</v>
      </c>
      <c r="E12" t="s">
        <v>4203</v>
      </c>
      <c r="F12" t="s">
        <v>4183</v>
      </c>
      <c r="G12" t="s">
        <v>150</v>
      </c>
    </row>
    <row r="13" spans="1:7" ht="11.25" customHeight="1">
      <c r="A13" t="s">
        <v>16</v>
      </c>
      <c r="B13" t="s">
        <v>4204</v>
      </c>
      <c r="C13" t="s">
        <v>4205</v>
      </c>
      <c r="D13" t="s">
        <v>4204</v>
      </c>
      <c r="E13" t="s">
        <v>4205</v>
      </c>
      <c r="F13" t="s">
        <v>4183</v>
      </c>
      <c r="G13" t="s">
        <v>151</v>
      </c>
    </row>
    <row r="14" spans="1:7" ht="11.25" customHeight="1">
      <c r="A14" t="s">
        <v>16</v>
      </c>
      <c r="B14" t="s">
        <v>4206</v>
      </c>
      <c r="C14" t="s">
        <v>4207</v>
      </c>
      <c r="D14" t="s">
        <v>4206</v>
      </c>
      <c r="E14" t="s">
        <v>4207</v>
      </c>
      <c r="F14" t="s">
        <v>4208</v>
      </c>
      <c r="G14" t="s">
        <v>152</v>
      </c>
    </row>
    <row r="15" spans="1:7" ht="11.25" customHeight="1">
      <c r="A15" t="s">
        <v>16</v>
      </c>
      <c r="B15" t="s">
        <v>4209</v>
      </c>
      <c r="C15" t="s">
        <v>4210</v>
      </c>
      <c r="D15" t="s">
        <v>4209</v>
      </c>
      <c r="E15" t="s">
        <v>4210</v>
      </c>
      <c r="F15" t="s">
        <v>4183</v>
      </c>
      <c r="G15" t="s">
        <v>153</v>
      </c>
    </row>
    <row r="16" spans="1:7" ht="11.25" customHeight="1">
      <c r="A16" t="s">
        <v>16</v>
      </c>
      <c r="B16" t="s">
        <v>4211</v>
      </c>
      <c r="C16" t="s">
        <v>4212</v>
      </c>
      <c r="D16" t="s">
        <v>4211</v>
      </c>
      <c r="E16" t="s">
        <v>4212</v>
      </c>
      <c r="F16" t="s">
        <v>4183</v>
      </c>
      <c r="G16" t="s">
        <v>1461</v>
      </c>
    </row>
    <row r="17" spans="1:7" ht="11.25" customHeight="1">
      <c r="A17" t="s">
        <v>16</v>
      </c>
      <c r="B17" t="s">
        <v>4213</v>
      </c>
      <c r="C17" t="s">
        <v>4214</v>
      </c>
      <c r="D17" t="s">
        <v>4213</v>
      </c>
      <c r="E17" t="s">
        <v>4214</v>
      </c>
      <c r="F17" t="s">
        <v>4183</v>
      </c>
      <c r="G17" t="s">
        <v>1467</v>
      </c>
    </row>
    <row r="18" spans="1:7" ht="11.25" customHeight="1">
      <c r="A18" t="s">
        <v>16</v>
      </c>
      <c r="B18" t="s">
        <v>4215</v>
      </c>
      <c r="C18" t="s">
        <v>4216</v>
      </c>
      <c r="D18" t="s">
        <v>4215</v>
      </c>
      <c r="E18" t="s">
        <v>4216</v>
      </c>
      <c r="F18" t="s">
        <v>4183</v>
      </c>
      <c r="G18" t="s">
        <v>1479</v>
      </c>
    </row>
    <row r="19" spans="1:7" ht="11.25" customHeight="1">
      <c r="A19" t="s">
        <v>16</v>
      </c>
      <c r="B19" t="s">
        <v>4217</v>
      </c>
      <c r="C19" t="s">
        <v>4218</v>
      </c>
      <c r="D19" t="s">
        <v>4217</v>
      </c>
      <c r="E19" t="s">
        <v>4218</v>
      </c>
      <c r="F19" t="s">
        <v>4183</v>
      </c>
      <c r="G19" t="s">
        <v>1493</v>
      </c>
    </row>
    <row r="20" spans="1:7" ht="11.25" customHeight="1">
      <c r="A20" t="s">
        <v>16</v>
      </c>
      <c r="B20" t="s">
        <v>4219</v>
      </c>
      <c r="C20" t="s">
        <v>4220</v>
      </c>
      <c r="D20" t="s">
        <v>4219</v>
      </c>
      <c r="E20" t="s">
        <v>4220</v>
      </c>
      <c r="F20" t="s">
        <v>4208</v>
      </c>
      <c r="G20" t="s">
        <v>1505</v>
      </c>
    </row>
    <row r="21" spans="1:7" ht="11.25" customHeight="1">
      <c r="A21" t="s">
        <v>16</v>
      </c>
      <c r="B21" t="s">
        <v>4221</v>
      </c>
      <c r="C21" t="s">
        <v>4222</v>
      </c>
      <c r="D21" t="s">
        <v>4221</v>
      </c>
      <c r="E21" t="s">
        <v>4222</v>
      </c>
      <c r="F21" t="s">
        <v>4183</v>
      </c>
      <c r="G21" t="s">
        <v>1514</v>
      </c>
    </row>
    <row r="22" spans="1:7" ht="11.25" customHeight="1">
      <c r="A22" t="s">
        <v>16</v>
      </c>
      <c r="B22" t="s">
        <v>4223</v>
      </c>
      <c r="C22" t="s">
        <v>4224</v>
      </c>
      <c r="D22" t="s">
        <v>4223</v>
      </c>
      <c r="E22" t="s">
        <v>4224</v>
      </c>
      <c r="F22" t="s">
        <v>4183</v>
      </c>
      <c r="G22" t="s">
        <v>1530</v>
      </c>
    </row>
    <row r="23" spans="1:7" ht="11.25" customHeight="1">
      <c r="A23" t="s">
        <v>16</v>
      </c>
      <c r="B23" t="s">
        <v>4225</v>
      </c>
      <c r="C23" t="s">
        <v>4226</v>
      </c>
      <c r="D23" t="s">
        <v>4225</v>
      </c>
      <c r="E23" t="s">
        <v>4226</v>
      </c>
      <c r="F23" t="s">
        <v>4183</v>
      </c>
      <c r="G23" t="s">
        <v>1537</v>
      </c>
    </row>
    <row r="24" spans="1:7" ht="11.25" customHeight="1">
      <c r="A24" t="s">
        <v>16</v>
      </c>
      <c r="B24" t="s">
        <v>4227</v>
      </c>
      <c r="C24" t="s">
        <v>4228</v>
      </c>
      <c r="D24" t="s">
        <v>4227</v>
      </c>
      <c r="E24" t="s">
        <v>4228</v>
      </c>
      <c r="F24" t="s">
        <v>4183</v>
      </c>
      <c r="G24" t="s">
        <v>1545</v>
      </c>
    </row>
    <row r="25" spans="1:7" ht="11.25" customHeight="1">
      <c r="A25" t="s">
        <v>16</v>
      </c>
      <c r="B25" t="s">
        <v>4229</v>
      </c>
      <c r="C25" t="s">
        <v>4230</v>
      </c>
      <c r="D25" t="s">
        <v>4229</v>
      </c>
      <c r="E25" t="s">
        <v>4230</v>
      </c>
      <c r="F25" t="s">
        <v>4183</v>
      </c>
      <c r="G25" t="s">
        <v>1552</v>
      </c>
    </row>
    <row r="26" spans="1:7" ht="11.25" customHeight="1">
      <c r="A26" t="s">
        <v>16</v>
      </c>
      <c r="B26" t="s">
        <v>4231</v>
      </c>
      <c r="C26" t="s">
        <v>4232</v>
      </c>
      <c r="D26" t="s">
        <v>4231</v>
      </c>
      <c r="E26" t="s">
        <v>4232</v>
      </c>
      <c r="F26" t="s">
        <v>4183</v>
      </c>
      <c r="G26" t="s">
        <v>1556</v>
      </c>
    </row>
    <row r="27" spans="1:7" ht="11.25" customHeight="1">
      <c r="A27" t="s">
        <v>16</v>
      </c>
      <c r="B27" t="s">
        <v>4233</v>
      </c>
      <c r="C27" t="s">
        <v>4234</v>
      </c>
      <c r="D27" t="s">
        <v>4233</v>
      </c>
      <c r="E27" t="s">
        <v>4234</v>
      </c>
      <c r="F27" t="s">
        <v>4183</v>
      </c>
      <c r="G27" t="s">
        <v>1561</v>
      </c>
    </row>
    <row r="28" spans="1:7" ht="11.25" customHeight="1">
      <c r="A28" t="s">
        <v>16</v>
      </c>
      <c r="B28" t="s">
        <v>4235</v>
      </c>
      <c r="C28" t="s">
        <v>4236</v>
      </c>
      <c r="D28" t="s">
        <v>4235</v>
      </c>
      <c r="E28" t="s">
        <v>4236</v>
      </c>
      <c r="F28" t="s">
        <v>4208</v>
      </c>
      <c r="G28" t="s">
        <v>1569</v>
      </c>
    </row>
    <row r="29" spans="1:7" ht="11.25" customHeight="1">
      <c r="A29" t="s">
        <v>16</v>
      </c>
      <c r="B29" t="s">
        <v>4237</v>
      </c>
      <c r="C29" t="s">
        <v>4238</v>
      </c>
      <c r="D29" t="s">
        <v>4237</v>
      </c>
      <c r="E29" t="s">
        <v>4238</v>
      </c>
      <c r="F29" t="s">
        <v>4183</v>
      </c>
      <c r="G29" t="s">
        <v>1571</v>
      </c>
    </row>
    <row r="30" spans="1:7" ht="11.25" customHeight="1">
      <c r="A30" t="s">
        <v>16</v>
      </c>
      <c r="B30" t="s">
        <v>4239</v>
      </c>
      <c r="C30" t="s">
        <v>4240</v>
      </c>
      <c r="D30" t="s">
        <v>4239</v>
      </c>
      <c r="E30" t="s">
        <v>4240</v>
      </c>
      <c r="F30" t="s">
        <v>4208</v>
      </c>
      <c r="G30" t="s">
        <v>1574</v>
      </c>
    </row>
    <row r="31" spans="1:7" ht="11.25" customHeight="1">
      <c r="A31" t="s">
        <v>16</v>
      </c>
      <c r="B31" t="s">
        <v>4241</v>
      </c>
      <c r="C31" t="s">
        <v>4242</v>
      </c>
      <c r="D31" t="s">
        <v>4241</v>
      </c>
      <c r="E31" t="s">
        <v>4242</v>
      </c>
      <c r="F31" t="s">
        <v>4183</v>
      </c>
      <c r="G31" t="s">
        <v>1580</v>
      </c>
    </row>
    <row r="32" spans="1:7" ht="11.25" customHeight="1">
      <c r="A32" t="s">
        <v>16</v>
      </c>
      <c r="B32" t="s">
        <v>4243</v>
      </c>
      <c r="C32" t="s">
        <v>4244</v>
      </c>
      <c r="D32" t="s">
        <v>4243</v>
      </c>
      <c r="E32" t="s">
        <v>4244</v>
      </c>
      <c r="F32" t="s">
        <v>4183</v>
      </c>
      <c r="G32" t="s">
        <v>1582</v>
      </c>
    </row>
    <row r="33" spans="1:7" ht="11.25" customHeight="1">
      <c r="A33" t="s">
        <v>16</v>
      </c>
      <c r="B33" t="s">
        <v>4245</v>
      </c>
      <c r="C33" t="s">
        <v>4246</v>
      </c>
      <c r="D33" t="s">
        <v>4245</v>
      </c>
      <c r="E33" t="s">
        <v>4246</v>
      </c>
      <c r="F33" t="s">
        <v>4208</v>
      </c>
      <c r="G33" t="s">
        <v>1584</v>
      </c>
    </row>
    <row r="34" spans="1:7" ht="11.25" customHeight="1">
      <c r="A34" t="s">
        <v>16</v>
      </c>
      <c r="B34" t="s">
        <v>4247</v>
      </c>
      <c r="C34" t="s">
        <v>4248</v>
      </c>
      <c r="D34" t="s">
        <v>4247</v>
      </c>
      <c r="E34" t="s">
        <v>4248</v>
      </c>
      <c r="F34" t="s">
        <v>4183</v>
      </c>
      <c r="G34" t="s">
        <v>1586</v>
      </c>
    </row>
    <row r="35" spans="1:7" ht="11.25" customHeight="1">
      <c r="A35" t="s">
        <v>16</v>
      </c>
      <c r="B35" t="s">
        <v>4249</v>
      </c>
      <c r="C35" t="s">
        <v>4250</v>
      </c>
      <c r="D35" t="s">
        <v>4249</v>
      </c>
      <c r="E35" t="s">
        <v>4250</v>
      </c>
      <c r="F35" t="s">
        <v>4183</v>
      </c>
      <c r="G35" t="s">
        <v>1591</v>
      </c>
    </row>
    <row r="36" spans="1:7" ht="11.25" customHeight="1">
      <c r="A36" t="s">
        <v>16</v>
      </c>
      <c r="B36" t="s">
        <v>4251</v>
      </c>
      <c r="C36" t="s">
        <v>4252</v>
      </c>
      <c r="D36" t="s">
        <v>4251</v>
      </c>
      <c r="E36" t="s">
        <v>4252</v>
      </c>
      <c r="F36" t="s">
        <v>4208</v>
      </c>
      <c r="G36" t="s">
        <v>1596</v>
      </c>
    </row>
    <row r="37" spans="1:7" ht="11.25" customHeight="1">
      <c r="A37" t="s">
        <v>16</v>
      </c>
      <c r="B37" t="s">
        <v>4253</v>
      </c>
      <c r="C37" t="s">
        <v>4254</v>
      </c>
      <c r="D37" t="s">
        <v>4253</v>
      </c>
      <c r="E37" t="s">
        <v>4254</v>
      </c>
      <c r="F37" t="s">
        <v>4183</v>
      </c>
      <c r="G37" t="s">
        <v>1600</v>
      </c>
    </row>
    <row r="38" spans="1:7" ht="11.25" customHeight="1">
      <c r="A38" t="s">
        <v>16</v>
      </c>
      <c r="B38" t="s">
        <v>4255</v>
      </c>
      <c r="C38" t="s">
        <v>4256</v>
      </c>
      <c r="D38" t="s">
        <v>4255</v>
      </c>
      <c r="E38" t="s">
        <v>4256</v>
      </c>
      <c r="F38" t="s">
        <v>4183</v>
      </c>
      <c r="G38" t="s">
        <v>1608</v>
      </c>
    </row>
    <row r="39" spans="1:7" ht="11.25" customHeight="1">
      <c r="A39" t="s">
        <v>16</v>
      </c>
      <c r="B39" t="s">
        <v>4257</v>
      </c>
      <c r="C39" t="s">
        <v>4258</v>
      </c>
      <c r="D39" t="s">
        <v>4257</v>
      </c>
      <c r="E39" t="s">
        <v>4258</v>
      </c>
      <c r="F39" t="s">
        <v>4183</v>
      </c>
      <c r="G39" t="s">
        <v>1614</v>
      </c>
    </row>
    <row r="40" spans="1:7" ht="11.25" customHeight="1">
      <c r="A40" t="s">
        <v>16</v>
      </c>
      <c r="B40" t="s">
        <v>4259</v>
      </c>
      <c r="C40" t="s">
        <v>4260</v>
      </c>
      <c r="D40" t="s">
        <v>4259</v>
      </c>
      <c r="E40" t="s">
        <v>4260</v>
      </c>
      <c r="F40" t="s">
        <v>4183</v>
      </c>
      <c r="G40" t="s">
        <v>1618</v>
      </c>
    </row>
    <row r="41" spans="1:7" ht="11.25" customHeight="1">
      <c r="A41" t="s">
        <v>16</v>
      </c>
      <c r="B41" t="s">
        <v>4261</v>
      </c>
      <c r="C41" t="s">
        <v>4262</v>
      </c>
      <c r="D41" t="s">
        <v>4261</v>
      </c>
      <c r="E41" t="s">
        <v>4262</v>
      </c>
      <c r="F41" t="s">
        <v>4183</v>
      </c>
      <c r="G41" t="s">
        <v>1622</v>
      </c>
    </row>
    <row r="42" spans="1:7" ht="11.25" customHeight="1">
      <c r="A42" t="s">
        <v>16</v>
      </c>
      <c r="B42" t="s">
        <v>4263</v>
      </c>
      <c r="C42" t="s">
        <v>4264</v>
      </c>
      <c r="D42" t="s">
        <v>4263</v>
      </c>
      <c r="E42" t="s">
        <v>4264</v>
      </c>
      <c r="F42" t="s">
        <v>4183</v>
      </c>
      <c r="G42" t="s">
        <v>1625</v>
      </c>
    </row>
    <row r="43" spans="1:7" ht="11.25" customHeight="1">
      <c r="A43" t="s">
        <v>16</v>
      </c>
      <c r="B43" t="s">
        <v>4265</v>
      </c>
      <c r="C43" t="s">
        <v>4266</v>
      </c>
      <c r="D43" t="s">
        <v>4265</v>
      </c>
      <c r="E43" t="s">
        <v>4266</v>
      </c>
      <c r="F43" t="s">
        <v>4183</v>
      </c>
      <c r="G43" t="s">
        <v>1632</v>
      </c>
    </row>
    <row r="44" spans="1:7" ht="11.25" customHeight="1">
      <c r="A44" t="s">
        <v>16</v>
      </c>
      <c r="B44" t="s">
        <v>4267</v>
      </c>
      <c r="C44" t="s">
        <v>4268</v>
      </c>
      <c r="D44" t="s">
        <v>4267</v>
      </c>
      <c r="E44" t="s">
        <v>4268</v>
      </c>
      <c r="F44" t="s">
        <v>4208</v>
      </c>
      <c r="G44" t="s">
        <v>1641</v>
      </c>
    </row>
    <row r="45" spans="1:7" ht="11.25" customHeight="1">
      <c r="A45" t="s">
        <v>16</v>
      </c>
      <c r="B45" t="s">
        <v>4269</v>
      </c>
      <c r="C45" t="s">
        <v>4270</v>
      </c>
      <c r="D45" t="s">
        <v>4269</v>
      </c>
      <c r="E45" t="s">
        <v>4270</v>
      </c>
      <c r="F45" t="s">
        <v>4208</v>
      </c>
      <c r="G45" t="s">
        <v>1646</v>
      </c>
    </row>
    <row r="46" spans="1:7" ht="11.25" customHeight="1">
      <c r="A46" t="s">
        <v>16</v>
      </c>
      <c r="B46" t="s">
        <v>4271</v>
      </c>
      <c r="C46" t="s">
        <v>4272</v>
      </c>
      <c r="D46" t="s">
        <v>4271</v>
      </c>
      <c r="E46" t="s">
        <v>4272</v>
      </c>
      <c r="F46" t="s">
        <v>4208</v>
      </c>
      <c r="G46" t="s">
        <v>1649</v>
      </c>
    </row>
    <row r="47" spans="1:7" ht="11.25" customHeight="1">
      <c r="A47" t="s">
        <v>16</v>
      </c>
      <c r="B47" t="s">
        <v>4273</v>
      </c>
      <c r="C47" t="s">
        <v>4274</v>
      </c>
      <c r="D47" t="s">
        <v>4273</v>
      </c>
      <c r="E47" t="s">
        <v>4274</v>
      </c>
      <c r="F47" t="s">
        <v>4208</v>
      </c>
      <c r="G47" t="s">
        <v>1655</v>
      </c>
    </row>
    <row r="48" spans="1:7" ht="11.25" customHeight="1">
      <c r="A48" t="s">
        <v>16</v>
      </c>
      <c r="B48" t="s">
        <v>4275</v>
      </c>
      <c r="C48" t="s">
        <v>4276</v>
      </c>
      <c r="D48" t="s">
        <v>4275</v>
      </c>
      <c r="E48" t="s">
        <v>4276</v>
      </c>
      <c r="F48" t="s">
        <v>4208</v>
      </c>
      <c r="G48" t="s">
        <v>1660</v>
      </c>
    </row>
    <row r="49" spans="1:7" ht="11.25" customHeight="1">
      <c r="A49" t="s">
        <v>16</v>
      </c>
      <c r="B49" t="s">
        <v>99</v>
      </c>
      <c r="C49" t="s">
        <v>100</v>
      </c>
      <c r="D49" t="s">
        <v>99</v>
      </c>
      <c r="E49" t="s">
        <v>100</v>
      </c>
      <c r="F49" t="s">
        <v>4208</v>
      </c>
      <c r="G49" t="s">
        <v>98</v>
      </c>
    </row>
    <row r="50" spans="1:7" ht="11.25" customHeight="1">
      <c r="A50" t="s">
        <v>16</v>
      </c>
      <c r="B50" t="s">
        <v>4277</v>
      </c>
      <c r="C50" t="s">
        <v>4278</v>
      </c>
      <c r="D50" t="s">
        <v>4277</v>
      </c>
      <c r="E50" t="s">
        <v>4278</v>
      </c>
      <c r="F50" t="s">
        <v>4208</v>
      </c>
      <c r="G50" t="s">
        <v>1666</v>
      </c>
    </row>
    <row r="51" spans="1:7" ht="11.25" customHeight="1">
      <c r="A51" t="s">
        <v>16</v>
      </c>
      <c r="B51" t="s">
        <v>4279</v>
      </c>
      <c r="C51" t="s">
        <v>4280</v>
      </c>
      <c r="D51" t="s">
        <v>4279</v>
      </c>
      <c r="E51" t="s">
        <v>4280</v>
      </c>
      <c r="F51" t="s">
        <v>4208</v>
      </c>
      <c r="G51" t="s">
        <v>1671</v>
      </c>
    </row>
    <row r="52" spans="1:7" ht="11.25" customHeight="1">
      <c r="A52" t="s">
        <v>16</v>
      </c>
      <c r="B52" t="s">
        <v>4281</v>
      </c>
      <c r="C52" t="s">
        <v>4282</v>
      </c>
      <c r="D52" t="s">
        <v>4281</v>
      </c>
      <c r="E52" t="s">
        <v>4282</v>
      </c>
      <c r="F52" t="s">
        <v>4208</v>
      </c>
      <c r="G52" t="s">
        <v>1675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9"/>
    <col min="2" max="2" width="84.28515625" style="1619" customWidth="1"/>
    <col min="3" max="3" width="9.140625" style="1619"/>
  </cols>
  <sheetData>
    <row r="1" spans="1:3" ht="11.25" customHeight="1">
      <c r="A1" s="767" t="s">
        <v>4303</v>
      </c>
      <c r="B1" s="767" t="s">
        <v>4304</v>
      </c>
      <c r="C1" s="767" t="s">
        <v>1163</v>
      </c>
    </row>
    <row r="2" spans="1:3" ht="11.25" customHeight="1">
      <c r="A2" s="767">
        <v>4189678</v>
      </c>
      <c r="B2" s="767" t="s">
        <v>4305</v>
      </c>
      <c r="C2" s="767" t="s">
        <v>4306</v>
      </c>
    </row>
    <row r="3" spans="1:3" ht="11.25" customHeight="1">
      <c r="A3" s="767">
        <v>4190415</v>
      </c>
      <c r="B3" s="767" t="s">
        <v>4307</v>
      </c>
      <c r="C3" s="767" t="s">
        <v>4306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4308</v>
      </c>
      <c r="B1" s="101" t="s">
        <v>4309</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4310</v>
      </c>
      <c r="B1" t="b">
        <v>1</v>
      </c>
    </row>
    <row r="2" spans="1:2" ht="11.25" customHeight="1">
      <c r="A2" t="s">
        <v>4311</v>
      </c>
      <c r="B2" t="b">
        <v>0</v>
      </c>
    </row>
    <row r="3" spans="1:2" ht="11.25" customHeight="1">
      <c r="A3" t="s">
        <v>4312</v>
      </c>
      <c r="B3" t="b">
        <v>0</v>
      </c>
    </row>
    <row r="4" spans="1:2" ht="11.25" customHeight="1">
      <c r="A4" t="s">
        <v>4313</v>
      </c>
      <c r="B4" t="b">
        <v>1</v>
      </c>
    </row>
    <row r="5" spans="1:2" ht="11.25" customHeight="1">
      <c r="A5" t="s">
        <v>4314</v>
      </c>
      <c r="B5" t="b">
        <v>0</v>
      </c>
    </row>
    <row r="6" spans="1:2" ht="11.25" customHeight="1">
      <c r="A6" t="s">
        <v>4315</v>
      </c>
      <c r="B6" t="b">
        <v>0</v>
      </c>
    </row>
    <row r="7" spans="1:2" ht="11.25" customHeight="1">
      <c r="A7" t="s">
        <v>4316</v>
      </c>
      <c r="B7" t="b">
        <v>0</v>
      </c>
    </row>
    <row r="8" spans="1:2" ht="11.25" customHeight="1">
      <c r="A8" t="s">
        <v>4317</v>
      </c>
      <c r="B8" t="b">
        <v>0</v>
      </c>
    </row>
    <row r="9" spans="1:2" ht="11.25" customHeight="1">
      <c r="A9" t="s">
        <v>4318</v>
      </c>
      <c r="B9" t="b">
        <v>0</v>
      </c>
    </row>
    <row r="10" spans="1:2" ht="11.25" customHeight="1">
      <c r="A10" t="s">
        <v>4319</v>
      </c>
      <c r="B10" t="b">
        <v>0</v>
      </c>
    </row>
    <row r="11" spans="1:2" ht="11.25" customHeight="1">
      <c r="A11" t="s">
        <v>4320</v>
      </c>
      <c r="B11" t="b">
        <v>1</v>
      </c>
    </row>
    <row r="12" spans="1:2" ht="11.25" customHeight="1">
      <c r="A12" t="s">
        <v>4321</v>
      </c>
      <c r="B12" t="b">
        <v>0</v>
      </c>
    </row>
    <row r="13" spans="1:2" ht="11.25" customHeight="1">
      <c r="A13" t="s">
        <v>4322</v>
      </c>
      <c r="B13" t="b">
        <v>0</v>
      </c>
    </row>
    <row r="14" spans="1:2" ht="11.25" customHeight="1">
      <c r="A14" t="s">
        <v>4323</v>
      </c>
      <c r="B14" t="b">
        <v>0</v>
      </c>
    </row>
    <row r="15" spans="1:2" ht="11.25" customHeight="1">
      <c r="A15" t="s">
        <v>4324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28"/>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7" t="s">
        <v>4325</v>
      </c>
      <c r="B1" s="7" t="s">
        <v>4326</v>
      </c>
    </row>
    <row r="2" spans="1:2" ht="11.25" customHeight="1">
      <c r="A2" s="4" t="s">
        <v>4327</v>
      </c>
      <c r="B2" s="4" t="s">
        <v>4328</v>
      </c>
    </row>
    <row r="3" spans="1:2" ht="11.25" customHeight="1">
      <c r="A3" s="4" t="s">
        <v>4329</v>
      </c>
      <c r="B3" s="4" t="s">
        <v>4330</v>
      </c>
    </row>
    <row r="4" spans="1:2" ht="11.25" customHeight="1">
      <c r="A4" s="4" t="s">
        <v>4331</v>
      </c>
      <c r="B4" s="4" t="s">
        <v>4332</v>
      </c>
    </row>
    <row r="5" spans="1:2" ht="11.25" customHeight="1">
      <c r="A5" s="4" t="s">
        <v>4333</v>
      </c>
      <c r="B5" s="4" t="s">
        <v>4334</v>
      </c>
    </row>
    <row r="6" spans="1:2" ht="11.25" customHeight="1">
      <c r="A6" s="4" t="s">
        <v>4335</v>
      </c>
      <c r="B6" s="4" t="s">
        <v>4336</v>
      </c>
    </row>
    <row r="7" spans="1:2" ht="11.25" customHeight="1">
      <c r="A7" s="4" t="s">
        <v>4337</v>
      </c>
      <c r="B7" s="4" t="s">
        <v>4338</v>
      </c>
    </row>
    <row r="8" spans="1:2" ht="11.25" customHeight="1">
      <c r="A8" s="4" t="s">
        <v>4339</v>
      </c>
      <c r="B8" s="4" t="s">
        <v>4340</v>
      </c>
    </row>
    <row r="9" spans="1:2" ht="11.25" customHeight="1">
      <c r="A9" s="4" t="s">
        <v>4341</v>
      </c>
      <c r="B9" s="4" t="s">
        <v>4342</v>
      </c>
    </row>
    <row r="10" spans="1:2" ht="11.25" customHeight="1">
      <c r="A10" s="4" t="s">
        <v>4343</v>
      </c>
      <c r="B10" s="4" t="s">
        <v>4344</v>
      </c>
    </row>
    <row r="11" spans="1:2" ht="11.25" customHeight="1">
      <c r="A11" s="4" t="s">
        <v>4345</v>
      </c>
      <c r="B11" s="4" t="s">
        <v>4346</v>
      </c>
    </row>
    <row r="12" spans="1:2" ht="11.25" customHeight="1">
      <c r="A12" s="4" t="s">
        <v>4347</v>
      </c>
      <c r="B12" s="4" t="s">
        <v>4348</v>
      </c>
    </row>
    <row r="13" spans="1:2" ht="11.25" customHeight="1">
      <c r="A13" s="4" t="s">
        <v>4349</v>
      </c>
      <c r="B13" s="4" t="s">
        <v>4350</v>
      </c>
    </row>
    <row r="14" spans="1:2" ht="11.25" customHeight="1">
      <c r="A14" s="4" t="s">
        <v>4351</v>
      </c>
      <c r="B14" s="4" t="s">
        <v>4352</v>
      </c>
    </row>
    <row r="15" spans="1:2" ht="11.25" customHeight="1">
      <c r="A15" s="4" t="s">
        <v>4353</v>
      </c>
      <c r="B15" s="4" t="s">
        <v>4354</v>
      </c>
    </row>
    <row r="16" spans="1:2" ht="11.25" customHeight="1">
      <c r="A16" s="4" t="s">
        <v>4355</v>
      </c>
      <c r="B16" s="4" t="s">
        <v>4356</v>
      </c>
    </row>
    <row r="17" spans="1:2" ht="11.25" customHeight="1">
      <c r="A17" s="4" t="s">
        <v>4357</v>
      </c>
      <c r="B17" s="4" t="s">
        <v>4358</v>
      </c>
    </row>
    <row r="18" spans="1:2" ht="11.25" customHeight="1">
      <c r="A18" s="4" t="s">
        <v>4359</v>
      </c>
      <c r="B18" s="4" t="s">
        <v>4360</v>
      </c>
    </row>
    <row r="19" spans="1:2" ht="11.25" customHeight="1">
      <c r="A19" s="4" t="s">
        <v>4361</v>
      </c>
      <c r="B19" s="4" t="s">
        <v>4362</v>
      </c>
    </row>
    <row r="20" spans="1:2" ht="11.25" customHeight="1">
      <c r="A20" s="4" t="s">
        <v>4363</v>
      </c>
      <c r="B20" s="4" t="s">
        <v>4364</v>
      </c>
    </row>
    <row r="21" spans="1:2" ht="11.25" customHeight="1">
      <c r="A21" s="4" t="s">
        <v>4365</v>
      </c>
      <c r="B21" s="4" t="s">
        <v>4366</v>
      </c>
    </row>
    <row r="22" spans="1:2" ht="11.25" customHeight="1">
      <c r="A22" s="4" t="s">
        <v>4367</v>
      </c>
      <c r="B22" s="4" t="s">
        <v>4368</v>
      </c>
    </row>
    <row r="23" spans="1:2" ht="11.25" customHeight="1">
      <c r="A23" s="4" t="s">
        <v>4369</v>
      </c>
      <c r="B23" s="4" t="s">
        <v>4370</v>
      </c>
    </row>
    <row r="24" spans="1:2" ht="11.25" customHeight="1">
      <c r="A24" s="4" t="s">
        <v>4371</v>
      </c>
      <c r="B24" s="4" t="s">
        <v>4372</v>
      </c>
    </row>
    <row r="25" spans="1:2" ht="11.25" customHeight="1">
      <c r="A25" s="4" t="s">
        <v>4373</v>
      </c>
      <c r="B25" s="4" t="s">
        <v>4374</v>
      </c>
    </row>
    <row r="26" spans="1:2" ht="11.25" customHeight="1">
      <c r="A26" s="4" t="s">
        <v>4375</v>
      </c>
      <c r="B26" s="4" t="s">
        <v>4376</v>
      </c>
    </row>
    <row r="27" spans="1:2" ht="11.25" customHeight="1">
      <c r="A27" s="4" t="s">
        <v>4377</v>
      </c>
      <c r="B27" s="4" t="s">
        <v>4378</v>
      </c>
    </row>
    <row r="28" spans="1:2" ht="11.25" customHeight="1">
      <c r="A28" s="4" t="s">
        <v>4379</v>
      </c>
      <c r="B28" s="4" t="s">
        <v>4380</v>
      </c>
    </row>
    <row r="29" spans="1:2" ht="11.25" customHeight="1">
      <c r="A29" s="4" t="s">
        <v>4381</v>
      </c>
      <c r="B29" s="4" t="s">
        <v>4382</v>
      </c>
    </row>
    <row r="30" spans="1:2" ht="11.25" customHeight="1">
      <c r="A30" s="4" t="s">
        <v>4383</v>
      </c>
      <c r="B30" s="4" t="s">
        <v>4384</v>
      </c>
    </row>
    <row r="31" spans="1:2" ht="11.25" customHeight="1">
      <c r="A31" s="4" t="s">
        <v>4385</v>
      </c>
      <c r="B31" s="4" t="s">
        <v>4386</v>
      </c>
    </row>
    <row r="32" spans="1:2" ht="11.25" customHeight="1">
      <c r="A32" s="4" t="s">
        <v>4387</v>
      </c>
      <c r="B32" s="4" t="s">
        <v>4388</v>
      </c>
    </row>
    <row r="33" spans="1:2" ht="11.25" customHeight="1">
      <c r="A33" s="4" t="s">
        <v>4389</v>
      </c>
      <c r="B33" s="4" t="s">
        <v>4390</v>
      </c>
    </row>
    <row r="34" spans="1:2" ht="11.25" customHeight="1">
      <c r="A34" s="4" t="s">
        <v>4391</v>
      </c>
      <c r="B34" s="4" t="s">
        <v>4392</v>
      </c>
    </row>
    <row r="35" spans="1:2" ht="11.25" customHeight="1">
      <c r="A35" s="4" t="s">
        <v>4393</v>
      </c>
      <c r="B35" s="4" t="s">
        <v>4394</v>
      </c>
    </row>
    <row r="36" spans="1:2" ht="11.25" customHeight="1">
      <c r="A36" s="4" t="s">
        <v>4395</v>
      </c>
      <c r="B36" s="4" t="s">
        <v>4396</v>
      </c>
    </row>
    <row r="37" spans="1:2" ht="11.25" customHeight="1">
      <c r="A37" s="4" t="s">
        <v>4397</v>
      </c>
      <c r="B37" s="4" t="s">
        <v>4398</v>
      </c>
    </row>
    <row r="38" spans="1:2" ht="11.25" customHeight="1">
      <c r="A38" s="4" t="s">
        <v>4399</v>
      </c>
      <c r="B38" s="4" t="s">
        <v>4400</v>
      </c>
    </row>
    <row r="39" spans="1:2" ht="11.25" customHeight="1">
      <c r="A39" s="4" t="s">
        <v>4401</v>
      </c>
      <c r="B39" s="4" t="s">
        <v>4402</v>
      </c>
    </row>
    <row r="40" spans="1:2" ht="11.25" customHeight="1">
      <c r="A40" s="4" t="s">
        <v>4403</v>
      </c>
      <c r="B40" s="4" t="s">
        <v>4404</v>
      </c>
    </row>
    <row r="41" spans="1:2" ht="11.25" customHeight="1">
      <c r="A41" s="4" t="s">
        <v>4405</v>
      </c>
      <c r="B41" s="4" t="s">
        <v>4406</v>
      </c>
    </row>
    <row r="42" spans="1:2" ht="11.25" customHeight="1">
      <c r="A42" s="4" t="s">
        <v>4407</v>
      </c>
      <c r="B42" s="4" t="s">
        <v>4408</v>
      </c>
    </row>
    <row r="43" spans="1:2" ht="11.25" customHeight="1">
      <c r="A43" s="4" t="s">
        <v>4409</v>
      </c>
      <c r="B43" s="4" t="s">
        <v>4410</v>
      </c>
    </row>
    <row r="44" spans="1:2" ht="11.25" customHeight="1">
      <c r="A44" s="4" t="s">
        <v>4411</v>
      </c>
      <c r="B44" s="4" t="s">
        <v>4412</v>
      </c>
    </row>
    <row r="45" spans="1:2" ht="11.25" customHeight="1">
      <c r="A45" s="4" t="s">
        <v>4413</v>
      </c>
      <c r="B45" s="4" t="s">
        <v>4414</v>
      </c>
    </row>
    <row r="46" spans="1:2" ht="11.25" customHeight="1">
      <c r="A46" s="4" t="s">
        <v>4415</v>
      </c>
      <c r="B46" s="4" t="s">
        <v>4416</v>
      </c>
    </row>
    <row r="47" spans="1:2" ht="11.25" customHeight="1">
      <c r="A47" s="4" t="s">
        <v>4417</v>
      </c>
      <c r="B47" s="4" t="s">
        <v>4418</v>
      </c>
    </row>
    <row r="48" spans="1:2" ht="11.25" customHeight="1">
      <c r="A48" s="4" t="s">
        <v>4419</v>
      </c>
      <c r="B48" s="4" t="s">
        <v>4420</v>
      </c>
    </row>
    <row r="49" spans="1:2" ht="11.25" customHeight="1">
      <c r="A49" s="4" t="s">
        <v>4421</v>
      </c>
      <c r="B49" s="4" t="s">
        <v>4422</v>
      </c>
    </row>
    <row r="50" spans="1:2" ht="11.25" customHeight="1">
      <c r="A50" s="4" t="s">
        <v>4423</v>
      </c>
      <c r="B50" s="4" t="s">
        <v>4424</v>
      </c>
    </row>
    <row r="51" spans="1:2" ht="11.25" customHeight="1">
      <c r="A51" s="4" t="s">
        <v>4425</v>
      </c>
      <c r="B51" s="4" t="s">
        <v>4426</v>
      </c>
    </row>
    <row r="52" spans="1:2" ht="11.25" customHeight="1">
      <c r="A52" s="4" t="s">
        <v>4427</v>
      </c>
      <c r="B52" s="4" t="s">
        <v>4428</v>
      </c>
    </row>
    <row r="53" spans="1:2" ht="11.25" customHeight="1">
      <c r="A53" s="4" t="s">
        <v>4429</v>
      </c>
      <c r="B53" s="4" t="s">
        <v>4430</v>
      </c>
    </row>
    <row r="54" spans="1:2" ht="11.25" customHeight="1">
      <c r="A54" s="4" t="s">
        <v>4431</v>
      </c>
      <c r="B54" s="4" t="s">
        <v>4432</v>
      </c>
    </row>
    <row r="55" spans="1:2" ht="11.25" customHeight="1">
      <c r="A55" s="4" t="s">
        <v>4433</v>
      </c>
      <c r="B55" s="4" t="s">
        <v>4434</v>
      </c>
    </row>
    <row r="56" spans="1:2" ht="11.25" customHeight="1">
      <c r="A56" s="4" t="s">
        <v>4435</v>
      </c>
      <c r="B56" s="4" t="s">
        <v>4436</v>
      </c>
    </row>
    <row r="57" spans="1:2" ht="11.25" customHeight="1">
      <c r="A57" s="4" t="s">
        <v>4437</v>
      </c>
      <c r="B57" s="4" t="s">
        <v>4438</v>
      </c>
    </row>
    <row r="58" spans="1:2" ht="11.25" customHeight="1">
      <c r="A58" s="4" t="s">
        <v>4439</v>
      </c>
      <c r="B58" s="4" t="s">
        <v>4440</v>
      </c>
    </row>
    <row r="59" spans="1:2" ht="11.25" customHeight="1">
      <c r="A59" s="4" t="s">
        <v>4441</v>
      </c>
      <c r="B59" s="4" t="s">
        <v>4442</v>
      </c>
    </row>
    <row r="60" spans="1:2" ht="11.25" customHeight="1">
      <c r="A60" s="4" t="s">
        <v>4443</v>
      </c>
      <c r="B60" s="4" t="s">
        <v>4444</v>
      </c>
    </row>
    <row r="61" spans="1:2" ht="11.25" customHeight="1">
      <c r="A61" s="4"/>
      <c r="B61" s="4" t="s">
        <v>4445</v>
      </c>
    </row>
    <row r="62" spans="1:2" ht="11.25" customHeight="1">
      <c r="A62" s="4"/>
      <c r="B62" s="4" t="s">
        <v>4446</v>
      </c>
    </row>
    <row r="63" spans="1:2" ht="11.25" customHeight="1">
      <c r="A63" s="4"/>
      <c r="B63" s="4" t="s">
        <v>4447</v>
      </c>
    </row>
    <row r="64" spans="1:2" ht="11.25" customHeight="1">
      <c r="A64" s="4"/>
      <c r="B64" s="4" t="s">
        <v>4448</v>
      </c>
    </row>
    <row r="65" spans="1:2" ht="11.25" customHeight="1">
      <c r="A65" s="4"/>
      <c r="B65" s="4" t="s">
        <v>4449</v>
      </c>
    </row>
    <row r="66" spans="1:2" ht="11.25" customHeight="1">
      <c r="A66" s="4"/>
      <c r="B66" s="4" t="s">
        <v>4450</v>
      </c>
    </row>
    <row r="67" spans="1:2" ht="11.25" customHeight="1">
      <c r="A67" s="4"/>
      <c r="B67" s="4" t="s">
        <v>4451</v>
      </c>
    </row>
    <row r="68" spans="1:2" ht="11.25" customHeight="1">
      <c r="A68" s="4"/>
      <c r="B68" s="4" t="s">
        <v>4452</v>
      </c>
    </row>
    <row r="69" spans="1:2" ht="11.25" customHeight="1">
      <c r="A69" s="4"/>
      <c r="B69" s="4" t="s">
        <v>4453</v>
      </c>
    </row>
    <row r="70" spans="1:2" ht="11.25" customHeight="1">
      <c r="A70" s="4"/>
      <c r="B70" s="4" t="s">
        <v>4454</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3" t="s">
        <v>4455</v>
      </c>
    </row>
    <row r="2" spans="2:4" ht="90" customHeight="1">
      <c r="B2" s="34" t="s">
        <v>4456</v>
      </c>
    </row>
    <row r="3" spans="2:4" ht="67.5" customHeight="1">
      <c r="B3" s="34" t="s">
        <v>4457</v>
      </c>
    </row>
    <row r="4" spans="2:4" ht="33.75" customHeight="1">
      <c r="B4" s="34" t="s">
        <v>4458</v>
      </c>
    </row>
    <row r="5" spans="2:4" ht="11.25" customHeight="1">
      <c r="B5" s="34" t="s">
        <v>4459</v>
      </c>
    </row>
    <row r="6" spans="2:4" ht="22.5" customHeight="1">
      <c r="B6" s="34" t="s">
        <v>4460</v>
      </c>
    </row>
    <row r="7" spans="2:4" ht="22.5" customHeight="1">
      <c r="B7" s="34" t="s">
        <v>4461</v>
      </c>
    </row>
    <row r="8" spans="2:4" ht="22.5" customHeight="1">
      <c r="B8" s="34" t="s">
        <v>4462</v>
      </c>
    </row>
    <row r="9" spans="2:4" ht="22.5" customHeight="1">
      <c r="B9" s="34" t="s">
        <v>4463</v>
      </c>
    </row>
    <row r="10" spans="2:4" ht="56.25" customHeight="1">
      <c r="B10" s="34" t="s">
        <v>4464</v>
      </c>
    </row>
    <row r="11" spans="2:4" ht="12.75" customHeight="1">
      <c r="B11" s="97" t="s">
        <v>4465</v>
      </c>
    </row>
    <row r="12" spans="2:4" ht="11.25" customHeight="1">
      <c r="B12" s="33" t="s">
        <v>4466</v>
      </c>
    </row>
    <row r="13" spans="2:4" ht="22.5" customHeight="1">
      <c r="B13" s="34" t="s">
        <v>4467</v>
      </c>
    </row>
    <row r="14" spans="2:4" ht="67.5" customHeight="1">
      <c r="B14" s="34" t="s">
        <v>4468</v>
      </c>
    </row>
    <row r="15" spans="2:4" ht="22.5" customHeight="1">
      <c r="B15" s="34" t="s">
        <v>4469</v>
      </c>
    </row>
    <row r="16" spans="2:4" ht="11.25" customHeight="1">
      <c r="B16" s="33" t="s">
        <v>4470</v>
      </c>
      <c r="D16" s="40"/>
    </row>
    <row r="17" spans="1:2" ht="33.75" customHeight="1">
      <c r="B17" s="34" t="s">
        <v>4471</v>
      </c>
    </row>
    <row r="18" spans="1:2" ht="33.75" customHeight="1">
      <c r="B18" s="34" t="s">
        <v>4472</v>
      </c>
    </row>
    <row r="19" spans="1:2" ht="11.25" customHeight="1">
      <c r="B19" s="34" t="s">
        <v>4473</v>
      </c>
    </row>
    <row r="20" spans="1:2" ht="33.75" customHeight="1">
      <c r="B20" s="34" t="s">
        <v>4474</v>
      </c>
    </row>
    <row r="21" spans="1:2" ht="11.25" customHeight="1">
      <c r="B21" s="33" t="s">
        <v>4475</v>
      </c>
    </row>
    <row r="22" spans="1:2" ht="11.25" customHeight="1">
      <c r="B22" s="34" t="s">
        <v>4476</v>
      </c>
    </row>
    <row r="24" spans="1:2" ht="22.5" customHeight="1">
      <c r="B24" s="99" t="s">
        <v>4477</v>
      </c>
    </row>
    <row r="26" spans="1:2" ht="11.25" customHeight="1">
      <c r="B26" s="33" t="s">
        <v>4478</v>
      </c>
    </row>
    <row r="27" spans="1:2" ht="22.5" customHeight="1">
      <c r="B27" s="98" t="s">
        <v>394</v>
      </c>
    </row>
    <row r="28" spans="1:2" ht="56.25" customHeight="1">
      <c r="B28" s="98" t="s">
        <v>4479</v>
      </c>
    </row>
    <row r="29" spans="1:2" ht="11.25" customHeight="1">
      <c r="B29" s="148" t="s">
        <v>4480</v>
      </c>
    </row>
    <row r="30" spans="1:2" ht="22.5" customHeight="1">
      <c r="B30" s="98" t="s">
        <v>4481</v>
      </c>
    </row>
    <row r="32" spans="1:2" ht="11.25" customHeight="1">
      <c r="A32" s="126"/>
      <c r="B32" s="127" t="s">
        <v>4482</v>
      </c>
    </row>
    <row r="33" spans="1:2" ht="14.25" customHeight="1">
      <c r="A33" s="128">
        <v>1</v>
      </c>
      <c r="B33" s="129" t="s">
        <v>4483</v>
      </c>
    </row>
    <row r="34" spans="1:2" ht="14.25" customHeight="1">
      <c r="A34" s="128">
        <v>2</v>
      </c>
      <c r="B34" s="129" t="s">
        <v>4484</v>
      </c>
    </row>
    <row r="35" spans="1:2" ht="11.25" customHeight="1">
      <c r="B35" s="127" t="s">
        <v>4485</v>
      </c>
    </row>
    <row r="36" spans="1:2" ht="11.25" customHeight="1">
      <c r="B36" s="129" t="s">
        <v>4486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2200</vt:i4>
      </vt:variant>
    </vt:vector>
  </HeadingPairs>
  <TitlesOfParts>
    <vt:vector size="22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2024-04-27T14:47:57Z</dcterms:modified>
</cp:coreProperties>
</file>